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Z:\SEPOL - EQLIC\PROCESSOS\2024\copeiragem regional\impugnação e resposta\"/>
    </mc:Choice>
  </mc:AlternateContent>
  <xr:revisionPtr revIDLastSave="0" documentId="13_ncr:1_{9E2D4CA4-2D82-48EC-9989-05E141B7B149}" xr6:coauthVersionLast="47" xr6:coauthVersionMax="47" xr10:uidLastSave="{00000000-0000-0000-0000-000000000000}"/>
  <bookViews>
    <workbookView xWindow="-28920" yWindow="-45" windowWidth="29040" windowHeight="15720" tabRatio="876" activeTab="3" xr2:uid="{00000000-000D-0000-FFFF-FFFF00000000}"/>
  </bookViews>
  <sheets>
    <sheet name="Orientações" sheetId="1" r:id="rId1"/>
    <sheet name="Licitante - Mão de Obra" sheetId="10" r:id="rId2"/>
    <sheet name="Licitante - Material de Consumo" sheetId="7" r:id="rId3"/>
    <sheet name="Copeiragem_Grupo 1" sheetId="3" r:id="rId4"/>
    <sheet name="Proposta" sheetId="11" r:id="rId5"/>
  </sheets>
  <definedNames>
    <definedName name="FromArray_1">_xlfn.ANCHORARRAY('Copeiragem_Grupo 1'!#REF!)</definedName>
    <definedName name="SHARED_FORMULA_11_49_11_49_1">"""""""""""""""""""""""""""""""[.K50]*[.$L$30]"""""""""""""""""""""""""""""""</definedName>
    <definedName name="SHARED_FORMULA_11_65_11_65_1">"""""""""""""""""""""""""""""""[.K66]*[.$L$30]"""""""""""""""""""""""""""""""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7" i="10" l="1"/>
  <c r="J33" i="7"/>
  <c r="J31" i="7"/>
  <c r="J30" i="7"/>
  <c r="J29" i="7"/>
  <c r="J28" i="7"/>
  <c r="J25" i="7"/>
  <c r="J22" i="7"/>
  <c r="J20" i="7"/>
  <c r="J19" i="7"/>
  <c r="J18" i="7"/>
  <c r="J17" i="7"/>
  <c r="J16" i="7"/>
  <c r="J15" i="7"/>
  <c r="J14" i="7"/>
  <c r="J13" i="7"/>
  <c r="J11" i="7"/>
  <c r="J8" i="7"/>
  <c r="V94" i="10"/>
  <c r="V95" i="10"/>
  <c r="V96" i="10"/>
  <c r="V97" i="10"/>
  <c r="V98" i="10"/>
  <c r="V99" i="10"/>
  <c r="V100" i="10"/>
  <c r="V101" i="10"/>
  <c r="V102" i="10"/>
  <c r="V103" i="10"/>
  <c r="V104" i="10"/>
  <c r="V105" i="10"/>
  <c r="V106" i="10"/>
  <c r="V107" i="10"/>
  <c r="V108" i="10"/>
  <c r="V109" i="10"/>
  <c r="V93" i="10"/>
  <c r="O34" i="7"/>
  <c r="O36" i="7" s="1"/>
  <c r="O37" i="7" s="1"/>
  <c r="O41" i="7" s="1"/>
  <c r="M34" i="7"/>
  <c r="M36" i="7" s="1"/>
  <c r="M37" i="7" s="1"/>
  <c r="M39" i="7" s="1"/>
  <c r="Q30" i="7"/>
  <c r="Q31" i="7"/>
  <c r="Q32" i="7"/>
  <c r="Q33" i="7"/>
  <c r="Q19" i="7"/>
  <c r="Q20" i="7"/>
  <c r="Q21" i="7"/>
  <c r="Q22" i="7"/>
  <c r="Q23" i="7"/>
  <c r="Q24" i="7"/>
  <c r="Q25" i="7"/>
  <c r="Q26" i="7"/>
  <c r="Q27" i="7"/>
  <c r="Q28" i="7"/>
  <c r="Q29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5" i="7"/>
  <c r="L29" i="7"/>
  <c r="L28" i="7"/>
  <c r="O120" i="3"/>
  <c r="P120" i="3"/>
  <c r="Q120" i="3"/>
  <c r="O118" i="3"/>
  <c r="P118" i="3"/>
  <c r="Q118" i="3"/>
  <c r="O101" i="3"/>
  <c r="P101" i="3"/>
  <c r="Q101" i="3"/>
  <c r="O97" i="3"/>
  <c r="P97" i="3"/>
  <c r="Q97" i="3"/>
  <c r="O79" i="3"/>
  <c r="P79" i="3"/>
  <c r="Q79" i="3"/>
  <c r="O77" i="3"/>
  <c r="P77" i="3"/>
  <c r="Q77" i="3"/>
  <c r="O74" i="3"/>
  <c r="P74" i="3"/>
  <c r="Q74" i="3"/>
  <c r="O73" i="3"/>
  <c r="P73" i="3"/>
  <c r="Q73" i="3"/>
  <c r="O72" i="3"/>
  <c r="P72" i="3"/>
  <c r="Q72" i="3"/>
  <c r="O71" i="3"/>
  <c r="P71" i="3"/>
  <c r="Q71" i="3"/>
  <c r="O70" i="3"/>
  <c r="P70" i="3"/>
  <c r="Q70" i="3"/>
  <c r="O69" i="3"/>
  <c r="P69" i="3"/>
  <c r="Q69" i="3"/>
  <c r="O68" i="3"/>
  <c r="P68" i="3"/>
  <c r="Q68" i="3"/>
  <c r="O63" i="3"/>
  <c r="P63" i="3"/>
  <c r="Q63" i="3"/>
  <c r="O62" i="3"/>
  <c r="P62" i="3"/>
  <c r="Q62" i="3"/>
  <c r="O57" i="3"/>
  <c r="P57" i="3"/>
  <c r="Q57" i="3"/>
  <c r="O56" i="3"/>
  <c r="P56" i="3"/>
  <c r="Q56" i="3"/>
  <c r="O55" i="3"/>
  <c r="P55" i="3"/>
  <c r="Q55" i="3"/>
  <c r="O54" i="3"/>
  <c r="P54" i="3"/>
  <c r="Q54" i="3"/>
  <c r="O53" i="3"/>
  <c r="P53" i="3"/>
  <c r="Q53" i="3"/>
  <c r="O52" i="3"/>
  <c r="P52" i="3"/>
  <c r="Q52" i="3"/>
  <c r="O51" i="3"/>
  <c r="P51" i="3"/>
  <c r="Q51" i="3"/>
  <c r="Q50" i="3"/>
  <c r="P50" i="3"/>
  <c r="O50" i="3"/>
  <c r="O47" i="3"/>
  <c r="P47" i="3"/>
  <c r="Q47" i="3"/>
  <c r="O46" i="3"/>
  <c r="P46" i="3"/>
  <c r="Q46" i="3"/>
  <c r="O45" i="3"/>
  <c r="P45" i="3"/>
  <c r="Q45" i="3"/>
  <c r="O44" i="3"/>
  <c r="P44" i="3"/>
  <c r="Q44" i="3"/>
  <c r="O43" i="3"/>
  <c r="P43" i="3"/>
  <c r="Q43" i="3"/>
  <c r="O42" i="3"/>
  <c r="P42" i="3"/>
  <c r="Q42" i="3"/>
  <c r="O41" i="3"/>
  <c r="P41" i="3"/>
  <c r="Q41" i="3"/>
  <c r="O35" i="3"/>
  <c r="P35" i="3"/>
  <c r="Q35" i="3"/>
  <c r="O34" i="3"/>
  <c r="P34" i="3"/>
  <c r="Q34" i="3"/>
  <c r="O29" i="3"/>
  <c r="O33" i="3" s="1"/>
  <c r="P29" i="3"/>
  <c r="P33" i="3" s="1"/>
  <c r="Q29" i="3"/>
  <c r="Q33" i="3" s="1"/>
  <c r="O28" i="3"/>
  <c r="P28" i="3"/>
  <c r="Q28" i="3"/>
  <c r="O27" i="3"/>
  <c r="P27" i="3"/>
  <c r="Q27" i="3"/>
  <c r="O26" i="3"/>
  <c r="P26" i="3"/>
  <c r="Q26" i="3"/>
  <c r="Q23" i="3"/>
  <c r="P23" i="3"/>
  <c r="O23" i="3"/>
  <c r="N23" i="3"/>
  <c r="O21" i="3"/>
  <c r="P21" i="3"/>
  <c r="Q21" i="3"/>
  <c r="N21" i="3"/>
  <c r="O20" i="3"/>
  <c r="P20" i="3"/>
  <c r="Q20" i="3"/>
  <c r="N20" i="3"/>
  <c r="O11" i="3"/>
  <c r="P11" i="3"/>
  <c r="Q11" i="3"/>
  <c r="N11" i="3"/>
  <c r="O10" i="3"/>
  <c r="P10" i="3"/>
  <c r="Q10" i="3"/>
  <c r="N10" i="3"/>
  <c r="T105" i="10"/>
  <c r="T106" i="10"/>
  <c r="T107" i="10"/>
  <c r="T108" i="10"/>
  <c r="T109" i="10"/>
  <c r="T99" i="10"/>
  <c r="T100" i="10"/>
  <c r="T101" i="10"/>
  <c r="T102" i="10"/>
  <c r="T103" i="10"/>
  <c r="T104" i="10"/>
  <c r="T94" i="10"/>
  <c r="T95" i="10"/>
  <c r="T96" i="10"/>
  <c r="T97" i="10"/>
  <c r="T98" i="10"/>
  <c r="T93" i="10"/>
  <c r="R106" i="10"/>
  <c r="R107" i="10"/>
  <c r="R108" i="10"/>
  <c r="R109" i="10"/>
  <c r="R99" i="10"/>
  <c r="R100" i="10"/>
  <c r="R101" i="10"/>
  <c r="R102" i="10"/>
  <c r="R103" i="10"/>
  <c r="R104" i="10"/>
  <c r="R105" i="10"/>
  <c r="R94" i="10"/>
  <c r="R95" i="10"/>
  <c r="R96" i="10"/>
  <c r="R97" i="10"/>
  <c r="R98" i="10"/>
  <c r="R93" i="10"/>
  <c r="I33" i="10"/>
  <c r="K33" i="10" s="1"/>
  <c r="I34" i="10"/>
  <c r="K34" i="10" s="1"/>
  <c r="I35" i="10"/>
  <c r="K35" i="10" s="1"/>
  <c r="G33" i="10"/>
  <c r="G34" i="10"/>
  <c r="G35" i="10"/>
  <c r="M40" i="7" l="1"/>
  <c r="O39" i="7"/>
  <c r="O40" i="7"/>
  <c r="M41" i="7"/>
  <c r="U110" i="10"/>
  <c r="U112" i="10" s="1"/>
  <c r="Q102" i="3" s="1"/>
  <c r="Q104" i="3" s="1"/>
  <c r="Q122" i="3" s="1"/>
  <c r="Q110" i="10"/>
  <c r="Q112" i="10" s="1"/>
  <c r="O102" i="3" s="1"/>
  <c r="O104" i="3" s="1"/>
  <c r="O122" i="3" s="1"/>
  <c r="Q34" i="7"/>
  <c r="Q36" i="7" s="1"/>
  <c r="O37" i="3"/>
  <c r="Q37" i="3"/>
  <c r="P37" i="3"/>
  <c r="S110" i="10"/>
  <c r="S112" i="10" s="1"/>
  <c r="P102" i="3" s="1"/>
  <c r="P104" i="3" s="1"/>
  <c r="P122" i="3" s="1"/>
  <c r="V97" i="3"/>
  <c r="U97" i="3"/>
  <c r="T97" i="3"/>
  <c r="S97" i="3"/>
  <c r="R97" i="3"/>
  <c r="N97" i="3"/>
  <c r="M97" i="3"/>
  <c r="L97" i="3"/>
  <c r="L56" i="3"/>
  <c r="M56" i="3"/>
  <c r="N56" i="3"/>
  <c r="R56" i="3"/>
  <c r="S56" i="3"/>
  <c r="T56" i="3"/>
  <c r="U56" i="3"/>
  <c r="V56" i="3"/>
  <c r="K56" i="3"/>
  <c r="L53" i="3"/>
  <c r="M53" i="3"/>
  <c r="N53" i="3"/>
  <c r="R53" i="3"/>
  <c r="S53" i="3"/>
  <c r="T53" i="3"/>
  <c r="U53" i="3"/>
  <c r="V53" i="3"/>
  <c r="K53" i="3"/>
  <c r="V51" i="3"/>
  <c r="U51" i="3"/>
  <c r="T51" i="3"/>
  <c r="S51" i="3"/>
  <c r="R51" i="3"/>
  <c r="N51" i="3"/>
  <c r="M51" i="3"/>
  <c r="L51" i="3"/>
  <c r="V21" i="3"/>
  <c r="U21" i="3"/>
  <c r="T21" i="3"/>
  <c r="S21" i="3"/>
  <c r="R21" i="3"/>
  <c r="M21" i="3"/>
  <c r="L21" i="3"/>
  <c r="V23" i="3"/>
  <c r="U23" i="3"/>
  <c r="T23" i="3"/>
  <c r="S23" i="3"/>
  <c r="R23" i="3"/>
  <c r="L23" i="3"/>
  <c r="V28" i="3"/>
  <c r="V27" i="3"/>
  <c r="V20" i="3"/>
  <c r="U28" i="3"/>
  <c r="U27" i="3"/>
  <c r="U20" i="3"/>
  <c r="T28" i="3"/>
  <c r="T27" i="3"/>
  <c r="S28" i="3"/>
  <c r="S27" i="3"/>
  <c r="R28" i="3"/>
  <c r="R27" i="3"/>
  <c r="N28" i="3"/>
  <c r="N27" i="3"/>
  <c r="M28" i="3"/>
  <c r="M27" i="3"/>
  <c r="L28" i="3"/>
  <c r="L27" i="3"/>
  <c r="V11" i="3"/>
  <c r="U11" i="3"/>
  <c r="T11" i="3"/>
  <c r="S11" i="3"/>
  <c r="R11" i="3"/>
  <c r="M11" i="3"/>
  <c r="L11" i="3"/>
  <c r="K11" i="3"/>
  <c r="V10" i="3"/>
  <c r="U10" i="3"/>
  <c r="T10" i="3"/>
  <c r="S10" i="3"/>
  <c r="R10" i="3"/>
  <c r="M10" i="3"/>
  <c r="L10" i="3"/>
  <c r="K10" i="3"/>
  <c r="R7" i="7"/>
  <c r="S7" i="7" s="1"/>
  <c r="AA30" i="7"/>
  <c r="AA31" i="7"/>
  <c r="AA32" i="7"/>
  <c r="AA33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6" i="7"/>
  <c r="AA7" i="7"/>
  <c r="AA8" i="7"/>
  <c r="AA9" i="7"/>
  <c r="AA10" i="7"/>
  <c r="AA11" i="7"/>
  <c r="AA12" i="7"/>
  <c r="AA13" i="7"/>
  <c r="AA14" i="7"/>
  <c r="AA15" i="7"/>
  <c r="AA16" i="7"/>
  <c r="AA5" i="7"/>
  <c r="Y29" i="7"/>
  <c r="Y30" i="7"/>
  <c r="Y31" i="7"/>
  <c r="Y32" i="7"/>
  <c r="Y33" i="7"/>
  <c r="Y18" i="7"/>
  <c r="Y19" i="7"/>
  <c r="Y20" i="7"/>
  <c r="Y21" i="7"/>
  <c r="Y22" i="7"/>
  <c r="Y23" i="7"/>
  <c r="Y24" i="7"/>
  <c r="Y25" i="7"/>
  <c r="Y26" i="7"/>
  <c r="Y27" i="7"/>
  <c r="Y28" i="7"/>
  <c r="Y6" i="7"/>
  <c r="Y7" i="7"/>
  <c r="Y8" i="7"/>
  <c r="Y9" i="7"/>
  <c r="Y10" i="7"/>
  <c r="Y11" i="7"/>
  <c r="Y12" i="7"/>
  <c r="Y13" i="7"/>
  <c r="Y14" i="7"/>
  <c r="Y15" i="7"/>
  <c r="Y16" i="7"/>
  <c r="Y17" i="7"/>
  <c r="Y5" i="7"/>
  <c r="W28" i="7"/>
  <c r="W29" i="7"/>
  <c r="W30" i="7"/>
  <c r="W31" i="7"/>
  <c r="W32" i="7"/>
  <c r="W33" i="7"/>
  <c r="W18" i="7"/>
  <c r="W19" i="7"/>
  <c r="W20" i="7"/>
  <c r="W21" i="7"/>
  <c r="W22" i="7"/>
  <c r="W23" i="7"/>
  <c r="W24" i="7"/>
  <c r="W25" i="7"/>
  <c r="W26" i="7"/>
  <c r="W27" i="7"/>
  <c r="W6" i="7"/>
  <c r="W7" i="7"/>
  <c r="W8" i="7"/>
  <c r="W9" i="7"/>
  <c r="W10" i="7"/>
  <c r="W11" i="7"/>
  <c r="W12" i="7"/>
  <c r="W13" i="7"/>
  <c r="W14" i="7"/>
  <c r="W15" i="7"/>
  <c r="W16" i="7"/>
  <c r="W17" i="7"/>
  <c r="W5" i="7"/>
  <c r="U30" i="7"/>
  <c r="U31" i="7"/>
  <c r="U32" i="7"/>
  <c r="U33" i="7"/>
  <c r="U21" i="7"/>
  <c r="U22" i="7"/>
  <c r="U23" i="7"/>
  <c r="U24" i="7"/>
  <c r="U25" i="7"/>
  <c r="U26" i="7"/>
  <c r="U27" i="7"/>
  <c r="U28" i="7"/>
  <c r="U29" i="7"/>
  <c r="U14" i="7"/>
  <c r="U15" i="7"/>
  <c r="U16" i="7"/>
  <c r="U17" i="7"/>
  <c r="U18" i="7"/>
  <c r="U19" i="7"/>
  <c r="U20" i="7"/>
  <c r="U6" i="7"/>
  <c r="U7" i="7"/>
  <c r="U8" i="7"/>
  <c r="U9" i="7"/>
  <c r="U10" i="7"/>
  <c r="U11" i="7"/>
  <c r="U12" i="7"/>
  <c r="U13" i="7"/>
  <c r="U5" i="7"/>
  <c r="S27" i="7"/>
  <c r="S28" i="7"/>
  <c r="S29" i="7"/>
  <c r="S30" i="7"/>
  <c r="S31" i="7"/>
  <c r="S32" i="7"/>
  <c r="S33" i="7"/>
  <c r="S21" i="7"/>
  <c r="S22" i="7"/>
  <c r="S23" i="7"/>
  <c r="S24" i="7"/>
  <c r="S25" i="7"/>
  <c r="S26" i="7"/>
  <c r="S15" i="7"/>
  <c r="S16" i="7"/>
  <c r="S17" i="7"/>
  <c r="S18" i="7"/>
  <c r="S19" i="7"/>
  <c r="S20" i="7"/>
  <c r="S8" i="7"/>
  <c r="S9" i="7"/>
  <c r="S10" i="7"/>
  <c r="S11" i="7"/>
  <c r="S12" i="7"/>
  <c r="S13" i="7"/>
  <c r="S14" i="7"/>
  <c r="S5" i="7"/>
  <c r="K31" i="7"/>
  <c r="K32" i="7"/>
  <c r="K33" i="7"/>
  <c r="K24" i="7"/>
  <c r="K25" i="7"/>
  <c r="K26" i="7"/>
  <c r="K27" i="7"/>
  <c r="K28" i="7"/>
  <c r="K29" i="7"/>
  <c r="K30" i="7"/>
  <c r="K18" i="7"/>
  <c r="K19" i="7"/>
  <c r="K20" i="7"/>
  <c r="K21" i="7"/>
  <c r="K22" i="7"/>
  <c r="K23" i="7"/>
  <c r="K6" i="7"/>
  <c r="K7" i="7"/>
  <c r="K8" i="7"/>
  <c r="K9" i="7"/>
  <c r="K10" i="7"/>
  <c r="K11" i="7"/>
  <c r="K12" i="7"/>
  <c r="K13" i="7"/>
  <c r="K14" i="7"/>
  <c r="K15" i="7"/>
  <c r="K16" i="7"/>
  <c r="K17" i="7"/>
  <c r="K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5" i="7"/>
  <c r="R6" i="7"/>
  <c r="S6" i="7" s="1"/>
  <c r="G27" i="7"/>
  <c r="G28" i="7"/>
  <c r="G29" i="7"/>
  <c r="G30" i="7"/>
  <c r="G31" i="7"/>
  <c r="G32" i="7"/>
  <c r="G33" i="7"/>
  <c r="G19" i="7"/>
  <c r="G20" i="7"/>
  <c r="G21" i="7"/>
  <c r="G22" i="7"/>
  <c r="G23" i="7"/>
  <c r="G24" i="7"/>
  <c r="G25" i="7"/>
  <c r="G26" i="7"/>
  <c r="G18" i="7"/>
  <c r="G12" i="7"/>
  <c r="G13" i="7"/>
  <c r="G14" i="7"/>
  <c r="G15" i="7"/>
  <c r="G16" i="7"/>
  <c r="G17" i="7"/>
  <c r="G6" i="7"/>
  <c r="G7" i="7"/>
  <c r="G8" i="7"/>
  <c r="G9" i="7"/>
  <c r="G10" i="7"/>
  <c r="G11" i="7"/>
  <c r="G5" i="7"/>
  <c r="AF94" i="10"/>
  <c r="AF95" i="10"/>
  <c r="AF96" i="10"/>
  <c r="AF97" i="10"/>
  <c r="AF98" i="10"/>
  <c r="AF99" i="10"/>
  <c r="AF100" i="10"/>
  <c r="AF101" i="10"/>
  <c r="AF102" i="10"/>
  <c r="AF103" i="10"/>
  <c r="AF104" i="10"/>
  <c r="AF105" i="10"/>
  <c r="AF106" i="10"/>
  <c r="AF107" i="10"/>
  <c r="AF108" i="10"/>
  <c r="AF109" i="10"/>
  <c r="AF93" i="10"/>
  <c r="AB94" i="10"/>
  <c r="AB95" i="10"/>
  <c r="AB96" i="10"/>
  <c r="AB97" i="10"/>
  <c r="AB98" i="10"/>
  <c r="AB99" i="10"/>
  <c r="AB100" i="10"/>
  <c r="AB101" i="10"/>
  <c r="AB102" i="10"/>
  <c r="AB103" i="10"/>
  <c r="AB104" i="10"/>
  <c r="AB105" i="10"/>
  <c r="AB106" i="10"/>
  <c r="AB107" i="10"/>
  <c r="AB108" i="10"/>
  <c r="AB109" i="10"/>
  <c r="AB93" i="10"/>
  <c r="AD94" i="10"/>
  <c r="AD95" i="10"/>
  <c r="AD96" i="10"/>
  <c r="AD97" i="10"/>
  <c r="AD98" i="10"/>
  <c r="AD99" i="10"/>
  <c r="AD100" i="10"/>
  <c r="AD101" i="10"/>
  <c r="AD102" i="10"/>
  <c r="AD103" i="10"/>
  <c r="AD104" i="10"/>
  <c r="AD105" i="10"/>
  <c r="AD106" i="10"/>
  <c r="AD107" i="10"/>
  <c r="AD108" i="10"/>
  <c r="AD109" i="10"/>
  <c r="AD93" i="10"/>
  <c r="Z96" i="10"/>
  <c r="Z97" i="10"/>
  <c r="Z98" i="10"/>
  <c r="Z99" i="10"/>
  <c r="Z100" i="10"/>
  <c r="Z101" i="10"/>
  <c r="Z102" i="10"/>
  <c r="Z103" i="10"/>
  <c r="Z104" i="10"/>
  <c r="Z105" i="10"/>
  <c r="Z106" i="10"/>
  <c r="Z107" i="10"/>
  <c r="Z108" i="10"/>
  <c r="Z109" i="10"/>
  <c r="Z94" i="10"/>
  <c r="Z95" i="10"/>
  <c r="Z93" i="10"/>
  <c r="X94" i="10"/>
  <c r="X95" i="10"/>
  <c r="X96" i="10"/>
  <c r="X97" i="10"/>
  <c r="X98" i="10"/>
  <c r="X99" i="10"/>
  <c r="X100" i="10"/>
  <c r="X101" i="10"/>
  <c r="X102" i="10"/>
  <c r="X103" i="10"/>
  <c r="X104" i="10"/>
  <c r="X105" i="10"/>
  <c r="X106" i="10"/>
  <c r="X107" i="10"/>
  <c r="X108" i="10"/>
  <c r="X109" i="10"/>
  <c r="X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109" i="10"/>
  <c r="P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109" i="10"/>
  <c r="N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93" i="10"/>
  <c r="I29" i="10"/>
  <c r="K29" i="10" s="1"/>
  <c r="K50" i="3" s="1"/>
  <c r="I30" i="10"/>
  <c r="K30" i="10" s="1"/>
  <c r="L50" i="3" s="1"/>
  <c r="I31" i="10"/>
  <c r="K31" i="10" s="1"/>
  <c r="M50" i="3" s="1"/>
  <c r="I32" i="10"/>
  <c r="K32" i="10" s="1"/>
  <c r="N50" i="3" s="1"/>
  <c r="I36" i="10"/>
  <c r="K36" i="10" s="1"/>
  <c r="R50" i="3" s="1"/>
  <c r="I37" i="10"/>
  <c r="K37" i="10" s="1"/>
  <c r="S50" i="3" s="1"/>
  <c r="I38" i="10"/>
  <c r="K38" i="10" s="1"/>
  <c r="T50" i="3" s="1"/>
  <c r="I39" i="10"/>
  <c r="K39" i="10" s="1"/>
  <c r="U50" i="3" s="1"/>
  <c r="G30" i="10"/>
  <c r="G31" i="10"/>
  <c r="G32" i="10"/>
  <c r="G36" i="10"/>
  <c r="G37" i="10"/>
  <c r="G38" i="10"/>
  <c r="G39" i="10"/>
  <c r="G40" i="10"/>
  <c r="G29" i="10"/>
  <c r="J100" i="10"/>
  <c r="J101" i="10"/>
  <c r="J102" i="10"/>
  <c r="J103" i="10"/>
  <c r="J104" i="10"/>
  <c r="J99" i="10"/>
  <c r="J94" i="10"/>
  <c r="J95" i="10"/>
  <c r="J96" i="10"/>
  <c r="J97" i="10"/>
  <c r="J98" i="10"/>
  <c r="K56" i="10"/>
  <c r="N57" i="3" s="1"/>
  <c r="K18" i="10"/>
  <c r="S20" i="3" s="1"/>
  <c r="S26" i="3" s="1"/>
  <c r="E10" i="7"/>
  <c r="E11" i="7"/>
  <c r="E12" i="7"/>
  <c r="E13" i="7"/>
  <c r="E14" i="7"/>
  <c r="E15" i="7"/>
  <c r="E16" i="7"/>
  <c r="E17" i="7"/>
  <c r="E18" i="7"/>
  <c r="E19" i="7"/>
  <c r="E6" i="7"/>
  <c r="E7" i="7"/>
  <c r="E5" i="7"/>
  <c r="E27" i="7"/>
  <c r="E26" i="7"/>
  <c r="E24" i="7"/>
  <c r="E23" i="7"/>
  <c r="E22" i="7"/>
  <c r="E21" i="7"/>
  <c r="E20" i="7"/>
  <c r="J105" i="10"/>
  <c r="J106" i="10"/>
  <c r="J107" i="10"/>
  <c r="J108" i="10"/>
  <c r="J109" i="10"/>
  <c r="J77" i="10"/>
  <c r="J78" i="10"/>
  <c r="J79" i="10"/>
  <c r="J80" i="10"/>
  <c r="J81" i="10"/>
  <c r="J82" i="10"/>
  <c r="J83" i="10"/>
  <c r="J84" i="10"/>
  <c r="J85" i="10"/>
  <c r="J86" i="10"/>
  <c r="O45" i="7" l="1"/>
  <c r="B35" i="11" s="1"/>
  <c r="F35" i="11" s="1"/>
  <c r="R58" i="3"/>
  <c r="P58" i="3"/>
  <c r="P59" i="3" s="1"/>
  <c r="P64" i="3" s="1"/>
  <c r="P65" i="3" s="1"/>
  <c r="P78" i="3" s="1"/>
  <c r="O58" i="3"/>
  <c r="O59" i="3" s="1"/>
  <c r="O64" i="3" s="1"/>
  <c r="O65" i="3" s="1"/>
  <c r="O78" i="3" s="1"/>
  <c r="Q58" i="3"/>
  <c r="Q59" i="3" s="1"/>
  <c r="Q64" i="3" s="1"/>
  <c r="Q65" i="3" s="1"/>
  <c r="Q78" i="3" s="1"/>
  <c r="M45" i="7"/>
  <c r="B34" i="11" s="1"/>
  <c r="F34" i="11" s="1"/>
  <c r="Q37" i="7"/>
  <c r="P40" i="3"/>
  <c r="P39" i="3"/>
  <c r="Q39" i="3"/>
  <c r="Q40" i="3"/>
  <c r="O40" i="3"/>
  <c r="O39" i="3"/>
  <c r="K110" i="10"/>
  <c r="O110" i="10"/>
  <c r="W110" i="10"/>
  <c r="M57" i="3"/>
  <c r="AC110" i="10"/>
  <c r="M20" i="3"/>
  <c r="M26" i="3" s="1"/>
  <c r="M29" i="3" s="1"/>
  <c r="U58" i="3"/>
  <c r="M110" i="10"/>
  <c r="Y110" i="10"/>
  <c r="AA110" i="10"/>
  <c r="T20" i="3"/>
  <c r="T26" i="3" s="1"/>
  <c r="T29" i="3" s="1"/>
  <c r="T34" i="3" s="1"/>
  <c r="N58" i="3"/>
  <c r="AE110" i="10"/>
  <c r="U26" i="3"/>
  <c r="U29" i="3" s="1"/>
  <c r="M58" i="3"/>
  <c r="V26" i="3"/>
  <c r="V29" i="3" s="1"/>
  <c r="V57" i="3"/>
  <c r="K58" i="3"/>
  <c r="L58" i="3"/>
  <c r="K57" i="3"/>
  <c r="L57" i="3"/>
  <c r="L20" i="3"/>
  <c r="L26" i="3" s="1"/>
  <c r="L29" i="3" s="1"/>
  <c r="U57" i="3"/>
  <c r="V58" i="3"/>
  <c r="N26" i="3"/>
  <c r="N29" i="3" s="1"/>
  <c r="S57" i="3"/>
  <c r="T58" i="3"/>
  <c r="R20" i="3"/>
  <c r="R26" i="3" s="1"/>
  <c r="R29" i="3" s="1"/>
  <c r="R57" i="3"/>
  <c r="S58" i="3"/>
  <c r="T57" i="3"/>
  <c r="S29" i="3"/>
  <c r="AA34" i="7"/>
  <c r="K34" i="7"/>
  <c r="U34" i="7"/>
  <c r="Y34" i="7"/>
  <c r="I34" i="7"/>
  <c r="W34" i="7"/>
  <c r="S34" i="7"/>
  <c r="G34" i="7"/>
  <c r="C50" i="11" l="1"/>
  <c r="O119" i="3"/>
  <c r="O80" i="3"/>
  <c r="P119" i="3"/>
  <c r="P80" i="3"/>
  <c r="Q119" i="3"/>
  <c r="Q80" i="3"/>
  <c r="C49" i="11"/>
  <c r="Q40" i="7"/>
  <c r="Q41" i="7"/>
  <c r="Q39" i="7"/>
  <c r="AA36" i="7"/>
  <c r="W36" i="7"/>
  <c r="W37" i="7" s="1"/>
  <c r="I36" i="7"/>
  <c r="I37" i="7" s="1"/>
  <c r="Y36" i="7"/>
  <c r="Y37" i="7" s="1"/>
  <c r="Y42" i="7" s="1"/>
  <c r="S36" i="7"/>
  <c r="G36" i="7"/>
  <c r="G37" i="7" s="1"/>
  <c r="G41" i="7" s="1"/>
  <c r="U36" i="7"/>
  <c r="U37" i="7" s="1"/>
  <c r="U43" i="7" s="1"/>
  <c r="K36" i="7"/>
  <c r="T77" i="3"/>
  <c r="N77" i="3"/>
  <c r="N34" i="3"/>
  <c r="M77" i="3"/>
  <c r="M34" i="3"/>
  <c r="R34" i="3"/>
  <c r="R77" i="3"/>
  <c r="S77" i="3"/>
  <c r="S34" i="3"/>
  <c r="U34" i="3"/>
  <c r="U77" i="3"/>
  <c r="L34" i="3"/>
  <c r="L77" i="3"/>
  <c r="V34" i="3"/>
  <c r="V77" i="3"/>
  <c r="K21" i="10"/>
  <c r="K24" i="10"/>
  <c r="K44" i="10"/>
  <c r="P82" i="3" l="1"/>
  <c r="P86" i="3"/>
  <c r="P84" i="3"/>
  <c r="P88" i="3"/>
  <c r="P85" i="3"/>
  <c r="O86" i="3"/>
  <c r="O88" i="3"/>
  <c r="O85" i="3"/>
  <c r="O84" i="3"/>
  <c r="O82" i="3"/>
  <c r="Q85" i="3"/>
  <c r="Q86" i="3"/>
  <c r="Q82" i="3"/>
  <c r="Q88" i="3"/>
  <c r="Q84" i="3"/>
  <c r="Q45" i="7"/>
  <c r="B36" i="11" s="1"/>
  <c r="C51" i="11" s="1"/>
  <c r="I41" i="7"/>
  <c r="K37" i="7"/>
  <c r="K41" i="7" s="1"/>
  <c r="W43" i="7"/>
  <c r="AA37" i="7"/>
  <c r="AA44" i="7" s="1"/>
  <c r="S37" i="7"/>
  <c r="S41" i="7" s="1"/>
  <c r="T52" i="3"/>
  <c r="K52" i="3"/>
  <c r="U52" i="3"/>
  <c r="S52" i="3"/>
  <c r="V52" i="3"/>
  <c r="L52" i="3"/>
  <c r="M52" i="3"/>
  <c r="N52" i="3"/>
  <c r="R52" i="3"/>
  <c r="F119" i="10" a="1"/>
  <c r="F119" i="10" s="1"/>
  <c r="F118" i="10" a="1"/>
  <c r="F118" i="10" s="1"/>
  <c r="F36" i="11" l="1"/>
  <c r="G123" i="10"/>
  <c r="G122" i="10"/>
  <c r="G121" i="10"/>
  <c r="B39" i="7"/>
  <c r="B40" i="7"/>
  <c r="K21" i="3"/>
  <c r="S39" i="7" l="1"/>
  <c r="W39" i="7"/>
  <c r="I39" i="7"/>
  <c r="U39" i="7"/>
  <c r="Y39" i="7"/>
  <c r="K39" i="7"/>
  <c r="AA39" i="7"/>
  <c r="G39" i="7"/>
  <c r="G45" i="7" s="1"/>
  <c r="B31" i="11" s="1"/>
  <c r="W40" i="7"/>
  <c r="I40" i="7"/>
  <c r="Y40" i="7"/>
  <c r="K40" i="7"/>
  <c r="U40" i="7"/>
  <c r="G40" i="7"/>
  <c r="AA40" i="7"/>
  <c r="S40" i="7"/>
  <c r="B38" i="7"/>
  <c r="K9" i="3"/>
  <c r="K45" i="7" l="1"/>
  <c r="I45" i="7"/>
  <c r="Y45" i="7"/>
  <c r="B40" i="11" s="1"/>
  <c r="D40" i="11" s="1"/>
  <c r="F40" i="11" s="1"/>
  <c r="D31" i="11"/>
  <c r="F31" i="11" s="1"/>
  <c r="C46" i="11"/>
  <c r="AA45" i="7"/>
  <c r="B41" i="11" s="1"/>
  <c r="W45" i="7"/>
  <c r="B39" i="11" s="1"/>
  <c r="U45" i="7"/>
  <c r="B38" i="11" s="1"/>
  <c r="S45" i="7"/>
  <c r="B37" i="11" s="1"/>
  <c r="J93" i="10"/>
  <c r="I110" i="10" s="1"/>
  <c r="J76" i="10"/>
  <c r="J112" i="3"/>
  <c r="J111" i="3"/>
  <c r="J109" i="3"/>
  <c r="J108" i="3"/>
  <c r="G118" i="10"/>
  <c r="E113" i="3"/>
  <c r="F113" i="3" s="1"/>
  <c r="J69" i="10"/>
  <c r="J68" i="10"/>
  <c r="J65" i="10"/>
  <c r="B33" i="11" l="1"/>
  <c r="C48" i="11" s="1"/>
  <c r="B32" i="11"/>
  <c r="C47" i="11" s="1"/>
  <c r="C55" i="11"/>
  <c r="D38" i="11"/>
  <c r="F38" i="11" s="1"/>
  <c r="C53" i="11"/>
  <c r="D41" i="11"/>
  <c r="F41" i="11" s="1"/>
  <c r="C56" i="11"/>
  <c r="D39" i="11"/>
  <c r="F39" i="11" s="1"/>
  <c r="C54" i="11"/>
  <c r="C52" i="11"/>
  <c r="D37" i="11"/>
  <c r="F37" i="11" s="1"/>
  <c r="K112" i="10"/>
  <c r="L102" i="3" s="1"/>
  <c r="I112" i="10"/>
  <c r="K102" i="3" s="1"/>
  <c r="J87" i="10"/>
  <c r="J33" i="3"/>
  <c r="B88" i="3"/>
  <c r="B28" i="3"/>
  <c r="K27" i="3"/>
  <c r="K23" i="3"/>
  <c r="D32" i="11" l="1"/>
  <c r="F32" i="11" s="1"/>
  <c r="D33" i="11"/>
  <c r="F33" i="11" s="1"/>
  <c r="S101" i="3"/>
  <c r="T101" i="3"/>
  <c r="U101" i="3"/>
  <c r="V101" i="3"/>
  <c r="R101" i="3"/>
  <c r="L101" i="3"/>
  <c r="L104" i="3" s="1"/>
  <c r="L122" i="3" s="1"/>
  <c r="K101" i="3"/>
  <c r="N101" i="3"/>
  <c r="M101" i="3"/>
  <c r="T33" i="3"/>
  <c r="N33" i="3"/>
  <c r="U33" i="3"/>
  <c r="S33" i="3"/>
  <c r="V33" i="3"/>
  <c r="L33" i="3"/>
  <c r="M33" i="3"/>
  <c r="R33" i="3"/>
  <c r="M112" i="10"/>
  <c r="M102" i="3" s="1"/>
  <c r="J67" i="10"/>
  <c r="J66" i="10"/>
  <c r="J87" i="3"/>
  <c r="G41" i="3"/>
  <c r="J60" i="10"/>
  <c r="B58" i="3"/>
  <c r="J50" i="10"/>
  <c r="K49" i="10" s="1"/>
  <c r="E112" i="3"/>
  <c r="J88" i="3"/>
  <c r="J83" i="3"/>
  <c r="J54" i="10"/>
  <c r="K52" i="10" s="1"/>
  <c r="K28" i="3"/>
  <c r="K8" i="3"/>
  <c r="E32" i="7"/>
  <c r="Q87" i="3" l="1"/>
  <c r="P87" i="3"/>
  <c r="O87" i="3"/>
  <c r="P83" i="3"/>
  <c r="O83" i="3"/>
  <c r="Q83" i="3"/>
  <c r="M104" i="3"/>
  <c r="M122" i="3" s="1"/>
  <c r="L55" i="3"/>
  <c r="K55" i="3"/>
  <c r="M55" i="3"/>
  <c r="R55" i="3"/>
  <c r="N55" i="3"/>
  <c r="V55" i="3"/>
  <c r="S55" i="3"/>
  <c r="U55" i="3"/>
  <c r="T55" i="3"/>
  <c r="V54" i="3"/>
  <c r="N54" i="3"/>
  <c r="L54" i="3"/>
  <c r="K54" i="3"/>
  <c r="M54" i="3"/>
  <c r="R54" i="3"/>
  <c r="T54" i="3"/>
  <c r="U54" i="3"/>
  <c r="S54" i="3"/>
  <c r="M35" i="3"/>
  <c r="S35" i="3"/>
  <c r="V35" i="3"/>
  <c r="U35" i="3"/>
  <c r="N35" i="3"/>
  <c r="L35" i="3"/>
  <c r="R35" i="3"/>
  <c r="T35" i="3"/>
  <c r="O112" i="10"/>
  <c r="J85" i="3"/>
  <c r="J84" i="3"/>
  <c r="K51" i="3"/>
  <c r="K20" i="3"/>
  <c r="K26" i="3" s="1"/>
  <c r="E41" i="3"/>
  <c r="J41" i="3" s="1"/>
  <c r="I40" i="10"/>
  <c r="K40" i="10" s="1"/>
  <c r="V50" i="3" s="1"/>
  <c r="E33" i="7"/>
  <c r="E31" i="7"/>
  <c r="E25" i="7"/>
  <c r="E28" i="7"/>
  <c r="E30" i="7"/>
  <c r="E29" i="7"/>
  <c r="E9" i="7"/>
  <c r="E8" i="7"/>
  <c r="J86" i="3"/>
  <c r="J69" i="3"/>
  <c r="J35" i="3"/>
  <c r="O89" i="3" l="1"/>
  <c r="O96" i="3" s="1"/>
  <c r="O98" i="3" s="1"/>
  <c r="O121" i="3" s="1"/>
  <c r="O123" i="3" s="1"/>
  <c r="O108" i="3" s="1"/>
  <c r="Q89" i="3"/>
  <c r="Q96" i="3" s="1"/>
  <c r="Q98" i="3" s="1"/>
  <c r="Q121" i="3" s="1"/>
  <c r="Q123" i="3" s="1"/>
  <c r="Q108" i="3" s="1"/>
  <c r="P89" i="3"/>
  <c r="P96" i="3" s="1"/>
  <c r="P98" i="3" s="1"/>
  <c r="P121" i="3" s="1"/>
  <c r="P123" i="3" s="1"/>
  <c r="P108" i="3" s="1"/>
  <c r="N102" i="3"/>
  <c r="N104" i="3" s="1"/>
  <c r="N122" i="3" s="1"/>
  <c r="R59" i="3"/>
  <c r="R64" i="3" s="1"/>
  <c r="M59" i="3"/>
  <c r="M64" i="3" s="1"/>
  <c r="T59" i="3"/>
  <c r="T64" i="3" s="1"/>
  <c r="L59" i="3"/>
  <c r="L64" i="3" s="1"/>
  <c r="N68" i="3"/>
  <c r="N73" i="3"/>
  <c r="N71" i="3"/>
  <c r="N70" i="3"/>
  <c r="U68" i="3"/>
  <c r="U71" i="3"/>
  <c r="U73" i="3"/>
  <c r="U70" i="3"/>
  <c r="V68" i="3"/>
  <c r="V70" i="3"/>
  <c r="V71" i="3"/>
  <c r="V73" i="3"/>
  <c r="M68" i="3"/>
  <c r="M73" i="3"/>
  <c r="M70" i="3"/>
  <c r="M71" i="3"/>
  <c r="L68" i="3"/>
  <c r="L71" i="3"/>
  <c r="L73" i="3"/>
  <c r="L70" i="3"/>
  <c r="S68" i="3"/>
  <c r="S73" i="3"/>
  <c r="S71" i="3"/>
  <c r="S70" i="3"/>
  <c r="N59" i="3"/>
  <c r="N64" i="3" s="1"/>
  <c r="T68" i="3"/>
  <c r="T70" i="3"/>
  <c r="T73" i="3"/>
  <c r="T71" i="3"/>
  <c r="S59" i="3"/>
  <c r="S64" i="3" s="1"/>
  <c r="V59" i="3"/>
  <c r="V64" i="3" s="1"/>
  <c r="R68" i="3"/>
  <c r="R73" i="3"/>
  <c r="R70" i="3"/>
  <c r="R71" i="3"/>
  <c r="U59" i="3"/>
  <c r="U64" i="3" s="1"/>
  <c r="U62" i="3"/>
  <c r="U37" i="3"/>
  <c r="U41" i="3" s="1"/>
  <c r="R62" i="3"/>
  <c r="R37" i="3"/>
  <c r="R41" i="3" s="1"/>
  <c r="V62" i="3"/>
  <c r="V37" i="3"/>
  <c r="V41" i="3" s="1"/>
  <c r="S62" i="3"/>
  <c r="S37" i="3"/>
  <c r="L62" i="3"/>
  <c r="L37" i="3"/>
  <c r="N62" i="3"/>
  <c r="N37" i="3"/>
  <c r="M62" i="3"/>
  <c r="M37" i="3"/>
  <c r="M41" i="3" s="1"/>
  <c r="T62" i="3"/>
  <c r="T37" i="3"/>
  <c r="W112" i="10"/>
  <c r="K59" i="3"/>
  <c r="K64" i="3" s="1"/>
  <c r="E34" i="7"/>
  <c r="J47" i="3"/>
  <c r="K29" i="3"/>
  <c r="P109" i="3" l="1"/>
  <c r="P111" i="3" s="1"/>
  <c r="Q109" i="3"/>
  <c r="Q113" i="3" s="1"/>
  <c r="O109" i="3"/>
  <c r="O111" i="3" s="1"/>
  <c r="R102" i="3"/>
  <c r="R104" i="3" s="1"/>
  <c r="R122" i="3" s="1"/>
  <c r="L40" i="3"/>
  <c r="L43" i="3"/>
  <c r="L39" i="3"/>
  <c r="L46" i="3"/>
  <c r="L45" i="3"/>
  <c r="L44" i="3"/>
  <c r="L42" i="3"/>
  <c r="T45" i="3"/>
  <c r="T44" i="3"/>
  <c r="T43" i="3"/>
  <c r="T42" i="3"/>
  <c r="T40" i="3"/>
  <c r="T39" i="3"/>
  <c r="T46" i="3"/>
  <c r="L118" i="3"/>
  <c r="R118" i="3"/>
  <c r="U118" i="3"/>
  <c r="V118" i="3"/>
  <c r="M118" i="3"/>
  <c r="K34" i="3"/>
  <c r="S118" i="3"/>
  <c r="K77" i="3"/>
  <c r="N118" i="3"/>
  <c r="T118" i="3"/>
  <c r="K33" i="3"/>
  <c r="V39" i="3"/>
  <c r="V46" i="3"/>
  <c r="V45" i="3"/>
  <c r="V42" i="3"/>
  <c r="V44" i="3"/>
  <c r="V43" i="3"/>
  <c r="V40" i="3"/>
  <c r="R43" i="3"/>
  <c r="R42" i="3"/>
  <c r="R40" i="3"/>
  <c r="R39" i="3"/>
  <c r="R46" i="3"/>
  <c r="R45" i="3"/>
  <c r="R44" i="3"/>
  <c r="U46" i="3"/>
  <c r="U45" i="3"/>
  <c r="U44" i="3"/>
  <c r="U43" i="3"/>
  <c r="U42" i="3"/>
  <c r="U40" i="3"/>
  <c r="U39" i="3"/>
  <c r="L41" i="3"/>
  <c r="S44" i="3"/>
  <c r="S43" i="3"/>
  <c r="S42" i="3"/>
  <c r="S39" i="3"/>
  <c r="S40" i="3"/>
  <c r="S46" i="3"/>
  <c r="S45" i="3"/>
  <c r="T41" i="3"/>
  <c r="M40" i="3"/>
  <c r="M44" i="3"/>
  <c r="M39" i="3"/>
  <c r="M46" i="3"/>
  <c r="M45" i="3"/>
  <c r="M43" i="3"/>
  <c r="M42" i="3"/>
  <c r="U72" i="3"/>
  <c r="R72" i="3"/>
  <c r="V72" i="3"/>
  <c r="L72" i="3"/>
  <c r="M72" i="3"/>
  <c r="N72" i="3"/>
  <c r="S72" i="3"/>
  <c r="T72" i="3"/>
  <c r="T69" i="3"/>
  <c r="M69" i="3"/>
  <c r="N69" i="3"/>
  <c r="L69" i="3"/>
  <c r="R69" i="3"/>
  <c r="S69" i="3"/>
  <c r="V69" i="3"/>
  <c r="S41" i="3"/>
  <c r="N42" i="3"/>
  <c r="N40" i="3"/>
  <c r="N45" i="3"/>
  <c r="N39" i="3"/>
  <c r="N46" i="3"/>
  <c r="N43" i="3"/>
  <c r="N44" i="3"/>
  <c r="N41" i="3"/>
  <c r="E36" i="7"/>
  <c r="E37" i="7" s="1"/>
  <c r="E40" i="7" s="1"/>
  <c r="Y112" i="10"/>
  <c r="K118" i="3"/>
  <c r="K92" i="3"/>
  <c r="K93" i="3"/>
  <c r="K104" i="3"/>
  <c r="K122" i="3" s="1"/>
  <c r="J72" i="3"/>
  <c r="P112" i="3" l="1"/>
  <c r="Q112" i="3"/>
  <c r="P113" i="3"/>
  <c r="Q111" i="3"/>
  <c r="O113" i="3"/>
  <c r="O112" i="3"/>
  <c r="S102" i="3"/>
  <c r="S104" i="3" s="1"/>
  <c r="S122" i="3" s="1"/>
  <c r="E41" i="7"/>
  <c r="R74" i="3"/>
  <c r="R79" i="3" s="1"/>
  <c r="V74" i="3"/>
  <c r="V79" i="3" s="1"/>
  <c r="S74" i="3"/>
  <c r="S79" i="3" s="1"/>
  <c r="L74" i="3"/>
  <c r="L79" i="3" s="1"/>
  <c r="U69" i="3"/>
  <c r="N74" i="3"/>
  <c r="M74" i="3"/>
  <c r="T74" i="3"/>
  <c r="E39" i="7"/>
  <c r="AA112" i="10"/>
  <c r="K97" i="3"/>
  <c r="K35" i="3"/>
  <c r="Q114" i="3" l="1"/>
  <c r="Q124" i="3" s="1"/>
  <c r="Q125" i="3" s="1"/>
  <c r="Q127" i="3" s="1"/>
  <c r="P114" i="3"/>
  <c r="P124" i="3" s="1"/>
  <c r="P125" i="3" s="1"/>
  <c r="P127" i="3" s="1"/>
  <c r="O114" i="3"/>
  <c r="O124" i="3" s="1"/>
  <c r="O125" i="3" s="1"/>
  <c r="O127" i="3" s="1"/>
  <c r="T102" i="3"/>
  <c r="T104" i="3" s="1"/>
  <c r="T122" i="3" s="1"/>
  <c r="S120" i="3"/>
  <c r="R120" i="3"/>
  <c r="V120" i="3"/>
  <c r="L120" i="3"/>
  <c r="K68" i="3"/>
  <c r="K69" i="3" s="1"/>
  <c r="K73" i="3"/>
  <c r="K71" i="3"/>
  <c r="K72" i="3" s="1"/>
  <c r="K70" i="3"/>
  <c r="U74" i="3"/>
  <c r="N79" i="3"/>
  <c r="N120" i="3"/>
  <c r="T79" i="3"/>
  <c r="T120" i="3"/>
  <c r="K62" i="3"/>
  <c r="K37" i="3"/>
  <c r="M79" i="3"/>
  <c r="M120" i="3"/>
  <c r="E45" i="7"/>
  <c r="B47" i="7" s="1"/>
  <c r="AC112" i="10"/>
  <c r="AE112" i="10"/>
  <c r="C21" i="11" l="1"/>
  <c r="D21" i="11" s="1"/>
  <c r="B51" i="11" s="1"/>
  <c r="D51" i="11" s="1"/>
  <c r="F51" i="11" s="1"/>
  <c r="C20" i="11"/>
  <c r="D20" i="11" s="1"/>
  <c r="B50" i="11" s="1"/>
  <c r="D50" i="11" s="1"/>
  <c r="F50" i="11" s="1"/>
  <c r="C19" i="11"/>
  <c r="D19" i="11" s="1"/>
  <c r="B49" i="11" s="1"/>
  <c r="D49" i="11" s="1"/>
  <c r="F49" i="11" s="1"/>
  <c r="U102" i="3"/>
  <c r="U104" i="3" s="1"/>
  <c r="U122" i="3" s="1"/>
  <c r="V102" i="3"/>
  <c r="V104" i="3" s="1"/>
  <c r="V122" i="3" s="1"/>
  <c r="B30" i="11"/>
  <c r="D42" i="11" s="1"/>
  <c r="K74" i="3"/>
  <c r="K120" i="3" s="1"/>
  <c r="K40" i="3"/>
  <c r="K39" i="3"/>
  <c r="K46" i="3"/>
  <c r="K45" i="3"/>
  <c r="K43" i="3"/>
  <c r="K44" i="3"/>
  <c r="K42" i="3"/>
  <c r="K41" i="3"/>
  <c r="U79" i="3"/>
  <c r="U120" i="3"/>
  <c r="L47" i="3"/>
  <c r="L63" i="3" s="1"/>
  <c r="L65" i="3" s="1"/>
  <c r="L78" i="3" s="1"/>
  <c r="K79" i="3"/>
  <c r="F21" i="11" l="1"/>
  <c r="F20" i="11"/>
  <c r="F19" i="11"/>
  <c r="D30" i="11"/>
  <c r="C45" i="11"/>
  <c r="K47" i="3"/>
  <c r="K63" i="3" s="1"/>
  <c r="K65" i="3" s="1"/>
  <c r="K78" i="3" s="1"/>
  <c r="L80" i="3"/>
  <c r="L82" i="3" s="1"/>
  <c r="L119" i="3"/>
  <c r="M47" i="3"/>
  <c r="M63" i="3" s="1"/>
  <c r="M65" i="3" s="1"/>
  <c r="M78" i="3" s="1"/>
  <c r="F30" i="11" l="1"/>
  <c r="F42" i="11" s="1"/>
  <c r="M119" i="3"/>
  <c r="M80" i="3"/>
  <c r="M82" i="3" s="1"/>
  <c r="L86" i="3"/>
  <c r="L85" i="3"/>
  <c r="L88" i="3"/>
  <c r="L87" i="3"/>
  <c r="L84" i="3"/>
  <c r="L83" i="3"/>
  <c r="N47" i="3"/>
  <c r="N63" i="3" s="1"/>
  <c r="N65" i="3" s="1"/>
  <c r="N78" i="3" s="1"/>
  <c r="K119" i="3"/>
  <c r="N119" i="3" l="1"/>
  <c r="N80" i="3"/>
  <c r="N82" i="3" s="1"/>
  <c r="M87" i="3"/>
  <c r="M84" i="3"/>
  <c r="M86" i="3"/>
  <c r="M85" i="3"/>
  <c r="M88" i="3"/>
  <c r="M83" i="3"/>
  <c r="L89" i="3"/>
  <c r="L96" i="3" s="1"/>
  <c r="L98" i="3" s="1"/>
  <c r="L121" i="3" s="1"/>
  <c r="L123" i="3" s="1"/>
  <c r="R47" i="3"/>
  <c r="R63" i="3" s="1"/>
  <c r="R65" i="3" s="1"/>
  <c r="R78" i="3" s="1"/>
  <c r="K80" i="3"/>
  <c r="K82" i="3" s="1"/>
  <c r="R119" i="3" l="1"/>
  <c r="R80" i="3"/>
  <c r="R82" i="3" s="1"/>
  <c r="L108" i="3"/>
  <c r="N88" i="3"/>
  <c r="N87" i="3"/>
  <c r="N86" i="3"/>
  <c r="N83" i="3"/>
  <c r="N85" i="3"/>
  <c r="N84" i="3"/>
  <c r="M89" i="3"/>
  <c r="M96" i="3" s="1"/>
  <c r="M98" i="3" s="1"/>
  <c r="M121" i="3" s="1"/>
  <c r="M123" i="3" s="1"/>
  <c r="S47" i="3"/>
  <c r="S63" i="3" s="1"/>
  <c r="S65" i="3" s="1"/>
  <c r="S78" i="3" s="1"/>
  <c r="K85" i="3"/>
  <c r="K88" i="3"/>
  <c r="K84" i="3"/>
  <c r="K86" i="3"/>
  <c r="K83" i="3"/>
  <c r="K87" i="3"/>
  <c r="S80" i="3" l="1"/>
  <c r="S82" i="3" s="1"/>
  <c r="S119" i="3"/>
  <c r="L109" i="3"/>
  <c r="L111" i="3" s="1"/>
  <c r="M108" i="3"/>
  <c r="N89" i="3"/>
  <c r="N96" i="3" s="1"/>
  <c r="N98" i="3" s="1"/>
  <c r="N121" i="3" s="1"/>
  <c r="N123" i="3" s="1"/>
  <c r="R85" i="3"/>
  <c r="R86" i="3"/>
  <c r="R83" i="3"/>
  <c r="R87" i="3"/>
  <c r="R88" i="3"/>
  <c r="R84" i="3"/>
  <c r="T47" i="3"/>
  <c r="T63" i="3" s="1"/>
  <c r="T65" i="3" s="1"/>
  <c r="T78" i="3" s="1"/>
  <c r="K89" i="3"/>
  <c r="K96" i="3" s="1"/>
  <c r="K98" i="3" s="1"/>
  <c r="K121" i="3" s="1"/>
  <c r="K123" i="3" s="1"/>
  <c r="L113" i="3" l="1"/>
  <c r="L112" i="3"/>
  <c r="R89" i="3"/>
  <c r="R96" i="3" s="1"/>
  <c r="R98" i="3" s="1"/>
  <c r="R121" i="3" s="1"/>
  <c r="R123" i="3" s="1"/>
  <c r="R108" i="3" s="1"/>
  <c r="T80" i="3"/>
  <c r="T82" i="3" s="1"/>
  <c r="T119" i="3"/>
  <c r="N108" i="3"/>
  <c r="M109" i="3"/>
  <c r="M111" i="3" s="1"/>
  <c r="S84" i="3"/>
  <c r="S88" i="3"/>
  <c r="S87" i="3"/>
  <c r="S86" i="3"/>
  <c r="S83" i="3"/>
  <c r="S85" i="3"/>
  <c r="V47" i="3"/>
  <c r="V63" i="3" s="1"/>
  <c r="V65" i="3" s="1"/>
  <c r="V78" i="3" s="1"/>
  <c r="U47" i="3"/>
  <c r="U63" i="3" s="1"/>
  <c r="U65" i="3" s="1"/>
  <c r="U78" i="3" s="1"/>
  <c r="K108" i="3"/>
  <c r="F112" i="3"/>
  <c r="L114" i="3" l="1"/>
  <c r="L124" i="3" s="1"/>
  <c r="L125" i="3" s="1"/>
  <c r="C16" i="11" s="1"/>
  <c r="D16" i="11" s="1"/>
  <c r="T86" i="3"/>
  <c r="T85" i="3"/>
  <c r="T88" i="3"/>
  <c r="T87" i="3"/>
  <c r="T83" i="3"/>
  <c r="T84" i="3"/>
  <c r="V80" i="3"/>
  <c r="V82" i="3" s="1"/>
  <c r="V119" i="3"/>
  <c r="U119" i="3"/>
  <c r="U80" i="3"/>
  <c r="U82" i="3" s="1"/>
  <c r="S89" i="3"/>
  <c r="S96" i="3" s="1"/>
  <c r="S98" i="3" s="1"/>
  <c r="S121" i="3" s="1"/>
  <c r="S123" i="3" s="1"/>
  <c r="M113" i="3"/>
  <c r="M112" i="3"/>
  <c r="N109" i="3"/>
  <c r="N112" i="3" s="1"/>
  <c r="R109" i="3"/>
  <c r="R111" i="3" s="1"/>
  <c r="K109" i="3"/>
  <c r="K113" i="3" s="1"/>
  <c r="L127" i="3" l="1"/>
  <c r="M114" i="3"/>
  <c r="M124" i="3" s="1"/>
  <c r="M125" i="3" s="1"/>
  <c r="B46" i="11"/>
  <c r="D46" i="11" s="1"/>
  <c r="F46" i="11" s="1"/>
  <c r="F16" i="11"/>
  <c r="T89" i="3"/>
  <c r="T96" i="3" s="1"/>
  <c r="T98" i="3" s="1"/>
  <c r="T121" i="3" s="1"/>
  <c r="T123" i="3" s="1"/>
  <c r="T108" i="3" s="1"/>
  <c r="R113" i="3"/>
  <c r="U86" i="3"/>
  <c r="U88" i="3"/>
  <c r="U83" i="3"/>
  <c r="U87" i="3"/>
  <c r="U84" i="3"/>
  <c r="U85" i="3"/>
  <c r="S108" i="3"/>
  <c r="S109" i="3" s="1"/>
  <c r="S111" i="3" s="1"/>
  <c r="N111" i="3"/>
  <c r="N113" i="3"/>
  <c r="R112" i="3"/>
  <c r="V83" i="3"/>
  <c r="V86" i="3"/>
  <c r="V85" i="3"/>
  <c r="V87" i="3"/>
  <c r="V84" i="3"/>
  <c r="V88" i="3"/>
  <c r="K111" i="3"/>
  <c r="K112" i="3"/>
  <c r="R114" i="3" l="1"/>
  <c r="R124" i="3" s="1"/>
  <c r="R125" i="3" s="1"/>
  <c r="C22" i="11" s="1"/>
  <c r="D22" i="11" s="1"/>
  <c r="C17" i="11"/>
  <c r="D17" i="11" s="1"/>
  <c r="M127" i="3"/>
  <c r="V89" i="3"/>
  <c r="V96" i="3" s="1"/>
  <c r="V98" i="3" s="1"/>
  <c r="V121" i="3" s="1"/>
  <c r="V123" i="3" s="1"/>
  <c r="V108" i="3" s="1"/>
  <c r="V109" i="3" s="1"/>
  <c r="V111" i="3" s="1"/>
  <c r="S112" i="3"/>
  <c r="N114" i="3"/>
  <c r="N124" i="3" s="1"/>
  <c r="N125" i="3" s="1"/>
  <c r="U89" i="3"/>
  <c r="U96" i="3" s="1"/>
  <c r="U98" i="3" s="1"/>
  <c r="U121" i="3" s="1"/>
  <c r="U123" i="3" s="1"/>
  <c r="T109" i="3"/>
  <c r="S113" i="3"/>
  <c r="K114" i="3"/>
  <c r="K124" i="3" s="1"/>
  <c r="K125" i="3" s="1"/>
  <c r="R127" i="3" l="1"/>
  <c r="S114" i="3"/>
  <c r="S124" i="3" s="1"/>
  <c r="S125" i="3" s="1"/>
  <c r="F22" i="11"/>
  <c r="B52" i="11"/>
  <c r="D52" i="11" s="1"/>
  <c r="F52" i="11" s="1"/>
  <c r="C18" i="11"/>
  <c r="D18" i="11" s="1"/>
  <c r="N127" i="3"/>
  <c r="B47" i="11"/>
  <c r="D47" i="11" s="1"/>
  <c r="F47" i="11" s="1"/>
  <c r="F17" i="11"/>
  <c r="C15" i="11"/>
  <c r="D15" i="11" s="1"/>
  <c r="K127" i="3"/>
  <c r="U108" i="3"/>
  <c r="T112" i="3"/>
  <c r="T113" i="3"/>
  <c r="T111" i="3"/>
  <c r="V112" i="3"/>
  <c r="V113" i="3"/>
  <c r="C23" i="11" l="1"/>
  <c r="D23" i="11" s="1"/>
  <c r="S127" i="3"/>
  <c r="B48" i="11"/>
  <c r="D48" i="11" s="1"/>
  <c r="F48" i="11" s="1"/>
  <c r="F18" i="11"/>
  <c r="F15" i="11"/>
  <c r="B45" i="11"/>
  <c r="D45" i="11" s="1"/>
  <c r="T114" i="3"/>
  <c r="T124" i="3" s="1"/>
  <c r="T125" i="3" s="1"/>
  <c r="V114" i="3"/>
  <c r="V124" i="3" s="1"/>
  <c r="V125" i="3" s="1"/>
  <c r="U109" i="3"/>
  <c r="U111" i="3" s="1"/>
  <c r="C26" i="11" l="1"/>
  <c r="D26" i="11" s="1"/>
  <c r="V127" i="3"/>
  <c r="C24" i="11"/>
  <c r="D24" i="11" s="1"/>
  <c r="T127" i="3"/>
  <c r="F23" i="11"/>
  <c r="B53" i="11"/>
  <c r="D53" i="11" s="1"/>
  <c r="F53" i="11" s="1"/>
  <c r="F45" i="11"/>
  <c r="U112" i="3"/>
  <c r="U113" i="3"/>
  <c r="B56" i="11" l="1"/>
  <c r="D56" i="11" s="1"/>
  <c r="F56" i="11" s="1"/>
  <c r="F26" i="11"/>
  <c r="F24" i="11"/>
  <c r="B54" i="11"/>
  <c r="D54" i="11" s="1"/>
  <c r="U114" i="3"/>
  <c r="U124" i="3" s="1"/>
  <c r="U125" i="3" s="1"/>
  <c r="C25" i="11" l="1"/>
  <c r="D25" i="11" s="1"/>
  <c r="U127" i="3"/>
  <c r="K128" i="3" s="1"/>
  <c r="F54" i="11"/>
  <c r="B55" i="11" l="1"/>
  <c r="D55" i="11" s="1"/>
  <c r="F25" i="11"/>
  <c r="D27" i="11"/>
  <c r="F27" i="11" s="1"/>
  <c r="F55" i="11" l="1"/>
  <c r="F57" i="11" s="1"/>
  <c r="D57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tc={10EC7389-53F1-4FF9-BA67-29C927D1F1F5}</author>
    <author>Anderson Shigueru Tanaka</author>
    <author>tc={BDB9CE57-6A9B-442E-B648-C1F7767B8294}</author>
    <author>tc={28B7EF2A-C264-41ED-B988-A468ACC534A0}</author>
    <author>tc={A65B6F99-9B38-49C8-ABF2-8E6F31E9581C}</author>
    <author>tc={D5645F08-3865-4D3D-A745-AD51C3D0DC58}</author>
    <author>tc={4710DE8A-E3D1-4957-8B04-5D3557AB121D}</author>
    <author>tc={047988E5-4BA4-4D25-98E7-4A14FF71E1D0}</author>
  </authors>
  <commentList>
    <comment ref="E28" authorId="0" shapeId="0" xr:uid="{10EC7389-53F1-4FF9-BA67-29C927D1F1F5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O valor deverá se lançado conforme realidade de cada município e necessidade do empregado, e não caberá Termo Aditivo para aumentar o valor, caso o licitante lance  a menor.
</t>
      </text>
    </comment>
    <comment ref="K40" authorId="1" shapeId="0" xr:uid="{00000000-0006-0000-0100-000001000000}">
      <text>
        <r>
          <rPr>
            <b/>
            <sz val="9"/>
            <color indexed="81"/>
            <rFont val="Segoe UI"/>
            <family val="2"/>
          </rPr>
          <t>Cálculo do Valor: (Bilhete/Dia x Nº Dias/Mês x Valor da Tarifa )-Custo do Empregado.</t>
        </r>
      </text>
    </comment>
    <comment ref="K42" authorId="2" shapeId="0" xr:uid="{BDB9CE57-6A9B-442E-B648-C1F7767B829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O licitante deverá ter atenção quanto aos valores considerados paradigmas, conforme Termo de Referência.</t>
      </text>
    </comment>
    <comment ref="K43" authorId="3" shapeId="0" xr:uid="{28B7EF2A-C264-41ED-B988-A468ACC534A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 Caso a CCT adotada não contemple tal benefício, o licitante deverá lançar o valor paradigma.</t>
      </text>
    </comment>
    <comment ref="K44" authorId="1" shapeId="0" xr:uid="{00000000-0006-0000-0100-000002000000}">
      <text>
        <r>
          <rPr>
            <b/>
            <sz val="9"/>
            <color indexed="81"/>
            <rFont val="Segoe UI"/>
            <family val="2"/>
          </rPr>
          <t>Cálculo do Valor:(Valor do Auxílio-Refeição - Participação do Empregado) x Quantidades de dias do mês de recebimento)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45" authorId="4" shapeId="0" xr:uid="{A65B6F99-9B38-49C8-ABF2-8E6F31E9581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a CCT adotada pelo licitante estipule valor maior que o paradigma, o valor da CCT adotada deverá ser lançado nesta célula.</t>
      </text>
    </comment>
    <comment ref="K48" authorId="5" shapeId="0" xr:uid="{D5645F08-3865-4D3D-A745-AD51C3D0DC5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Caso o valor da CCT adotada seja maior que o paradigma, o licitante deverá lançar o valor da CCT adotada. Caso a CCT adotada não disponha do benefício, o licitante deverá lançar o valor paradigma.</t>
      </text>
    </comment>
    <comment ref="B49" authorId="1" shapeId="0" xr:uid="{00000000-0006-0000-0100-000003000000}">
      <text>
        <r>
          <rPr>
            <b/>
            <sz val="9"/>
            <color indexed="81"/>
            <rFont val="Segoe UI"/>
            <family val="2"/>
          </rPr>
          <t>Cálculo do Valor: E.1 x E.2</t>
        </r>
      </text>
    </comment>
    <comment ref="H57" authorId="6" shapeId="0" xr:uid="{4710DE8A-E3D1-4957-8B04-5D3557AB121D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Inclui o mês de pagamento para o "cobertura" nas férias do titular</t>
      </text>
    </comment>
    <comment ref="J64" authorId="7" shapeId="0" xr:uid="{047988E5-4BA4-4D25-98E7-4A14FF71E1D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Atenção: Cálculo considerado por 12 meses e não por vigência.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Anderson Shigueru Tanaka</author>
    <author>tc={DB720FEC-2800-4D50-AEFE-5BBDC49A9499}</author>
  </authors>
  <commentList>
    <comment ref="B33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Obrigatória a cotação de 8,33% sobre o valor do Módulo 1 – Composição da Remuneração, conforme Anexo XII da IN 5/17</t>
        </r>
      </text>
    </comment>
    <comment ref="B34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Obrigatória a cotação de 3,025% sobre o valor do Módulo 1 – Composição da Remuneração, conforme Anexo XII da IN 5/17 (Férias + Adicional = 9,075% + 3,025% = 12,10%)</t>
        </r>
      </text>
    </comment>
    <comment ref="B68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Aviso-prévio indenizado Cálculo do valor = [Rem/12 + 13º/12 + (Férias + 1/3xFérias)/12] x (30/30=1) x 5% de rotatividade anual - Os reflexos de 13º, F e 1/3F são referentes a 1 mês de APInd - Na prorrogação, poderão ser considerados 3 dias conforme Lei nº 12.506/2011, dependendo da análise do nº de ocorrências deste evento no período.
Onde:
13º = Rem/12
Férias = (Rem/12)
1/3 Férias = 1/3x(Rem/12)</t>
        </r>
      </text>
    </comment>
    <comment ref="B71" authorId="0" shapeId="0" xr:uid="{00000000-0006-0000-0300-000004000000}">
      <text>
        <r>
          <rPr>
            <b/>
            <sz val="9"/>
            <color indexed="81"/>
            <rFont val="Segoe UI"/>
            <family val="2"/>
          </rPr>
          <t>Cálculo do valor= [(Rem/30)x7]/12 meses do contrato x 100% dos empregados - ao final do contrato</t>
        </r>
      </text>
    </comment>
    <comment ref="J73" authorId="0" shapeId="0" xr:uid="{00000000-0006-0000-0300-000005000000}">
      <text>
        <r>
          <rPr>
            <b/>
            <i/>
            <sz val="9"/>
            <color indexed="81"/>
            <rFont val="Segoe UI"/>
            <family val="2"/>
          </rPr>
          <t>Obrigatória a cotação de 4% sobre o valor do Módulo 1 - Composição da Remuneração, conforme Anexo XII da IN Seges nº 5/2017</t>
        </r>
      </text>
    </comment>
    <comment ref="I78" authorId="1" shapeId="0" xr:uid="{DB720FEC-2800-4D50-AEFE-5BBDC49A949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O pagamento de prêmio de assiduidade ao "cobertura" nas ausências do titular será controlado na célula respectiva do módulo 2.3</t>
      </text>
    </comment>
    <comment ref="B82" authorId="0" shapeId="0" xr:uid="{00000000-0006-0000-0300-000006000000}">
      <text>
        <r>
          <rPr>
            <b/>
            <sz val="9"/>
            <color indexed="81"/>
            <rFont val="Segoe UI"/>
            <family val="2"/>
          </rPr>
          <t>Cálculo do Valor: (9,075 x Módulo 1)+ [(9,075 x Módulo 1)*Percentual do Submódulo 2.2]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<sst xmlns="http://schemas.openxmlformats.org/spreadsheetml/2006/main" count="889" uniqueCount="409">
  <si>
    <t>Recomendações quanto ao preenchimento das planilhas</t>
  </si>
  <si>
    <t>COPEIRAGEM</t>
  </si>
  <si>
    <t>Número do Processo:</t>
  </si>
  <si>
    <t>Número da Licitação:</t>
  </si>
  <si>
    <t>Data do Pregão:</t>
  </si>
  <si>
    <t>Horário:</t>
  </si>
  <si>
    <t>Descrição do Serviço:</t>
  </si>
  <si>
    <t>►</t>
  </si>
  <si>
    <t>Data da apresentação da proposta:</t>
  </si>
  <si>
    <t>Sindicato Vinculado:</t>
  </si>
  <si>
    <t>Ano do Acordo, Convenção ou Sentença Normativa em Dissídio Coletivo:</t>
  </si>
  <si>
    <t>Número de meses de execução contratual:</t>
  </si>
  <si>
    <t>Tipo de serviço:</t>
  </si>
  <si>
    <t>Copeiragem</t>
  </si>
  <si>
    <t>Unidade de medida:</t>
  </si>
  <si>
    <t>Posto</t>
  </si>
  <si>
    <t>Quantidade total a contratar (em função da unidade de medida):</t>
  </si>
  <si>
    <t>DADOS COMPLEMENTARES PARA COMPOSIÇÃO DOS CUSTOS REFERENTE À MÃO-DE-OBRA</t>
  </si>
  <si>
    <t>Classificação Brasileira de Ocupações</t>
  </si>
  <si>
    <t>5134-25</t>
  </si>
  <si>
    <t>Salário Normativo da Categoria Profissional:</t>
  </si>
  <si>
    <t>Salário mínimo vigente</t>
  </si>
  <si>
    <t>Categoria profissional (vinculada a execução contratual)</t>
  </si>
  <si>
    <t>Copeira</t>
  </si>
  <si>
    <t>Data base da categoria</t>
  </si>
  <si>
    <t>MÓDULO 01 – COMPOSIÇÃO DA REMUNERAÇÃO</t>
  </si>
  <si>
    <t>VALOR (R$)</t>
  </si>
  <si>
    <t>A</t>
  </si>
  <si>
    <t>Salário Base</t>
  </si>
  <si>
    <t>Adicional Periculosidade/Insalubridade</t>
  </si>
  <si>
    <t>D</t>
  </si>
  <si>
    <t>Outros (especificar)</t>
  </si>
  <si>
    <t>TOTAL DO MÓDULO 1</t>
  </si>
  <si>
    <t>MÓDULO 02 – ENCARGOS E BENEFÍCIOS ANUAIS, MENSAIS E DIÁRIOS</t>
  </si>
  <si>
    <t>SUBMÓDULO 2.1 - 13º Salário, Férias e Adicional de Férias</t>
  </si>
  <si>
    <t>%</t>
  </si>
  <si>
    <t>13º (Décimo Terceiro) Salário</t>
  </si>
  <si>
    <t>B</t>
  </si>
  <si>
    <t>Adicional de Férias</t>
  </si>
  <si>
    <t>TOTAL SUBMÓDULO 2.1</t>
  </si>
  <si>
    <t>SUBMÓDULO 2.2 - ENCARGOS PREVIDENCIÁRIOS (GPS), FGTS E OUTRAS CONTRIBUIÇÕES</t>
  </si>
  <si>
    <t>Base de Cálculo: Módulo 1 + Submódulo 2.1</t>
  </si>
  <si>
    <t>INSS</t>
  </si>
  <si>
    <t>Salário Educação</t>
  </si>
  <si>
    <t>C</t>
  </si>
  <si>
    <t>SAT</t>
  </si>
  <si>
    <t>RAT</t>
  </si>
  <si>
    <t>FAP</t>
  </si>
  <si>
    <t>SESI ou SESC</t>
  </si>
  <si>
    <t>E</t>
  </si>
  <si>
    <t>SENAI ou SENAC</t>
  </si>
  <si>
    <t>F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</si>
  <si>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</si>
  <si>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</si>
  <si>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</si>
  <si>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</si>
  <si>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</si>
  <si>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</si>
  <si>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</si>
  <si>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TOTAL SUBMÓDULO 2.3</t>
  </si>
  <si>
    <t>QUADRO-RESUMO DO MÓDULO 2 - ENCARGOS, BENEFÍCIOS ANUAIS, MENSAIS E DIÁRIOS</t>
  </si>
  <si>
    <t>Benefícios Mensais e Diários</t>
  </si>
  <si>
    <t>TOTAL DO MÓDULO 2</t>
  </si>
  <si>
    <t>MÓDULO 3 – PROVISÃO PARA RESCISÃO</t>
  </si>
  <si>
    <t>Aviso Prévio Indenizado</t>
  </si>
  <si>
    <t>% de Ocorrência</t>
  </si>
  <si>
    <t>Incidência do FGTS sobre Aviso Prévio Indenizado</t>
  </si>
  <si>
    <t>8%*API</t>
  </si>
  <si>
    <t>Aviso Prévio Trabalhado</t>
  </si>
  <si>
    <t>7/30/12 meses (vigência inicial)</t>
  </si>
  <si>
    <t>Incidência dos encargos do submódulo 2.2 sobre APT</t>
  </si>
  <si>
    <t>TOTAL DO MÓDULO 3</t>
  </si>
  <si>
    <t>MÓDULO 04 – CUSTO DE REPOSIÇÃO DO PROFISSIONAL AUSENTE</t>
  </si>
  <si>
    <t>SUBMÓDULO 4.1 - SUBSTITUTO NAS AUSÊNCIAS LEGAIS</t>
  </si>
  <si>
    <t>Ausências Legais</t>
  </si>
  <si>
    <t>Licença Paternidade</t>
  </si>
  <si>
    <t>Acidente de Trabalho</t>
  </si>
  <si>
    <t>Afastamento Maternidade</t>
  </si>
  <si>
    <t>Ausência por Doença</t>
  </si>
  <si>
    <t>Outras Ausências (especificar)</t>
  </si>
  <si>
    <t>TOTAL DO SUBMÓDULO 4.1</t>
  </si>
  <si>
    <t>4.2 – SUBSTITUTO NA INTRAJORNADA</t>
  </si>
  <si>
    <t>Intervalo para Repouso ou Alimentação</t>
  </si>
  <si>
    <t>TOTAL DO SUBMÓDULO 4.2</t>
  </si>
  <si>
    <t>QUADRO-RESUMO DO MÓDULO 4 – CUSTO DE REPOSIÇÃO DO PROFISSIONAL AUSENTE</t>
  </si>
  <si>
    <t>Substituto nas Ausências Legais</t>
  </si>
  <si>
    <t>Substituto na Intrajornada</t>
  </si>
  <si>
    <t>TOTAL DO MÓDULO 4</t>
  </si>
  <si>
    <t>MÓDULO 5 – INSUMOS DIVERSOS</t>
  </si>
  <si>
    <t>Uniformes</t>
  </si>
  <si>
    <t>Equipamentos</t>
  </si>
  <si>
    <t>Outros (Especificar)</t>
  </si>
  <si>
    <t>TOTAL DO MÓDULO 5</t>
  </si>
  <si>
    <t>MÓDULO 6 – CUSTOS INDIRETOS, TRIBUTO E LUCRO</t>
  </si>
  <si>
    <t>Custos Indiretos</t>
  </si>
  <si>
    <t>Lucro</t>
  </si>
  <si>
    <t>Regime Tributário</t>
  </si>
  <si>
    <t>Real</t>
  </si>
  <si>
    <t>C.1.</t>
  </si>
  <si>
    <t>PIS</t>
  </si>
  <si>
    <t>C.2.</t>
  </si>
  <si>
    <t>COFINS</t>
  </si>
  <si>
    <t>C.3.</t>
  </si>
  <si>
    <t>ISSQN</t>
  </si>
  <si>
    <t>TOTAL DO MÓDULO 6</t>
  </si>
  <si>
    <t>QUADRO RESUMO DO CUSTO POR EMPREGADO – SERVIÇOS DE COPEIRAGEM</t>
  </si>
  <si>
    <t>Mão-de-obra vinculada à execução contratual (valor por empregado)</t>
  </si>
  <si>
    <t>MÓDULO 01 – Composição da Remuneração</t>
  </si>
  <si>
    <t>MÓDULO 02 – Benefícios Mensais e Diários</t>
  </si>
  <si>
    <t>MÓDULO 03 - Provisão para Rescisão</t>
  </si>
  <si>
    <t>MÓDULO 04 - Custo de Reposição do Profissional Ausente</t>
  </si>
  <si>
    <t>MÓDULO 05 - Insumos Diversos</t>
  </si>
  <si>
    <t>MÓDULO 06 – Custos Indiretos, Tributo e Lucro</t>
  </si>
  <si>
    <t>Nº Dias/Mês</t>
  </si>
  <si>
    <t>Descrição</t>
  </si>
  <si>
    <t>4.1</t>
  </si>
  <si>
    <t>Unidade de Medida</t>
  </si>
  <si>
    <t>Custo Mensal</t>
  </si>
  <si>
    <t>Unidade</t>
  </si>
  <si>
    <t>Crachá de Identificação com cordão</t>
  </si>
  <si>
    <t>Garrafa Térmica de aço inox 1 litro, com tampa tipo pressão, ampola inquebrável</t>
  </si>
  <si>
    <t>Garrafa Térmica de aço inox 1,8 litros, com tampa tipo pressão, ampola inquebrável</t>
  </si>
  <si>
    <t>Bandeja retangular média de inox com alça</t>
  </si>
  <si>
    <t>Açucareiro em inox, com colher – capacidade mínima de 250g</t>
  </si>
  <si>
    <t>Colher de sopa</t>
  </si>
  <si>
    <t>Custo Unitário</t>
  </si>
  <si>
    <t>Consumo Médio Mensal</t>
  </si>
  <si>
    <t>Pacote</t>
  </si>
  <si>
    <t>Adoçante Líquido - 100% estévia pura - frasco de 60 a 100ml</t>
  </si>
  <si>
    <t>Caixa</t>
  </si>
  <si>
    <t>Filtro de Papel para café 103 com 30 unidades</t>
  </si>
  <si>
    <t>Esponja multiuso, 11x7,5 cm (dupla-face)</t>
  </si>
  <si>
    <t>Detergente líquido 500 ml</t>
  </si>
  <si>
    <t>Frasco</t>
  </si>
  <si>
    <t>Pano de prato em algodão, tamanho médio</t>
  </si>
  <si>
    <t>Coador de Pano Grande compatível com a máquina ( nº 3)</t>
  </si>
  <si>
    <t>Papel Toalha – 50 a 60 folhas dimensões aproximadas de 22x20cm – Folha Dupla</t>
  </si>
  <si>
    <t>Rolo</t>
  </si>
  <si>
    <t>I</t>
  </si>
  <si>
    <t>Uniforme - Conjunto calça e jaleco/blazer</t>
  </si>
  <si>
    <t>Sapato Impermeável antiderrapante (par)</t>
  </si>
  <si>
    <t>Par de meias pretas</t>
  </si>
  <si>
    <t>Máquina de café, industrial, com duas torneiras, em aço inox, capacidade de 10 litros, com controle termostático de temperatura</t>
  </si>
  <si>
    <t>Carrinho de distribuição de material, bandejas (com proteção lateral que evita queda de bebidas ou alimentos por deslizamento ou escorrimento) em chapa lisa. Material: Estrutura aço inoxidável, tipo 2 bandejas, com rodízio. Dimensões mínimas de 40cm (L) x 70cm (C) x 80cm (A).</t>
  </si>
  <si>
    <t>Caneca de alumínio com alça, 4,5 litros</t>
  </si>
  <si>
    <t>Guardanapo de Papel , folha simples, branco com 50 folhas</t>
  </si>
  <si>
    <t>Antes de qualquer alteração ou introdução de dados (valores), sugere-se manter uma cópia de segurança das planilhas originais.</t>
  </si>
  <si>
    <t>As planilhas não estão protegidas, pois é prerrogativa do licitante alterá-las para adequá-las às suas realidades e possibilidades, desde que respeitadas as normas e as condições do edital e seus anexos.</t>
  </si>
  <si>
    <t>As planilhas possuem fórmulas e vínculos, e ajustes podem ser realizados, desde que estejam em conformidade com o modelo instituído pela Instrução Normativa SEGES/MPDG nº 05/2017 e suas alterações.</t>
  </si>
  <si>
    <t>Açúcar Refinado 1kg</t>
  </si>
  <si>
    <t>Chá de  Camomila (cx. c/ 15 unidades de 1g cada - 15g)</t>
  </si>
  <si>
    <t>Chá de  Maçã com Canela (cx. c/ 10 unidades de  2g cada - 20g)</t>
  </si>
  <si>
    <t>Chá Matte (cx. c/ 25 unidades de 1,6g cada - 40g)</t>
  </si>
  <si>
    <t>Chá Verde (cx. c/ 10 unidades de 1,6 g cada - 16g)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</si>
  <si>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e o Módulo 4.</t>
  </si>
  <si>
    <t>Nota 1: Como a planilha de custos e formação de preços é calculada mensalmente, provisiona-se proporcionalmente 1/12 (um doze avos) dos valores referentes à gratificação natalina e adicional de férias.
Nota 2: O adicional de férias contido no Submódulo 2.1 corresponde a 1/3 (um terço) da remuneração que por sua vez é dividido por 12 (doze) conforme Nota 1 acima.</t>
  </si>
  <si>
    <t xml:space="preserve">     B.1) Valor do auxílio-refeição</t>
  </si>
  <si>
    <t xml:space="preserve">     B.2) Quantidade de dias do mês de recebimento do auxílio-refeição</t>
  </si>
  <si>
    <t xml:space="preserve">     B.3) Participação do empregado</t>
  </si>
  <si>
    <r>
      <t>Cesta Básica (</t>
    </r>
    <r>
      <rPr>
        <b/>
        <i/>
        <sz val="11"/>
        <color rgb="FF000000"/>
        <rFont val="Calibri"/>
        <family val="2"/>
      </rPr>
      <t>cláusula 14ª da CCT</t>
    </r>
    <r>
      <rPr>
        <b/>
        <sz val="11"/>
        <color rgb="FF000000"/>
        <rFont val="Calibri"/>
        <family val="2"/>
      </rPr>
      <t>)</t>
    </r>
  </si>
  <si>
    <r>
      <t>Auxílio-Refeição (</t>
    </r>
    <r>
      <rPr>
        <b/>
        <i/>
        <sz val="11"/>
        <color rgb="FF000000"/>
        <rFont val="Calibri"/>
        <family val="2"/>
      </rPr>
      <t>cláusula 15ª da CCT</t>
    </r>
    <r>
      <rPr>
        <b/>
        <sz val="11"/>
        <color rgb="FF000000"/>
        <rFont val="Calibri"/>
        <family val="2"/>
      </rPr>
      <t>)</t>
    </r>
  </si>
  <si>
    <t xml:space="preserve">     F.1) Prêmio Mensal Estimado</t>
  </si>
  <si>
    <t xml:space="preserve">     F.2) Participação do Empregado (10% dos prêmios mensais)</t>
  </si>
  <si>
    <r>
      <t xml:space="preserve">Assistência Médica e Odontológica </t>
    </r>
    <r>
      <rPr>
        <b/>
        <i/>
        <sz val="11"/>
        <color rgb="FF000000"/>
        <rFont val="Calibri"/>
        <family val="2"/>
      </rPr>
      <t>(cláusula 17ª da CCT)</t>
    </r>
  </si>
  <si>
    <r>
      <t xml:space="preserve">Auxílio Creche </t>
    </r>
    <r>
      <rPr>
        <b/>
        <i/>
        <sz val="11"/>
        <color rgb="FF000000"/>
        <rFont val="Calibri"/>
        <family val="2"/>
      </rPr>
      <t>(cláusula 18ª da CCT)</t>
    </r>
  </si>
  <si>
    <r>
      <t xml:space="preserve">Seguro de Vida </t>
    </r>
    <r>
      <rPr>
        <b/>
        <i/>
        <sz val="11"/>
        <color rgb="FF000000"/>
        <rFont val="Calibri"/>
        <family val="2"/>
      </rPr>
      <t>(cláusula 19ª da CCT)</t>
    </r>
  </si>
  <si>
    <t>2.1</t>
  </si>
  <si>
    <t>2.2</t>
  </si>
  <si>
    <t>2.3</t>
  </si>
  <si>
    <t>13º (décimo terceiro) Salário e Adicional de Férias</t>
  </si>
  <si>
    <t>GPS, FGTS e outras contribuições</t>
  </si>
  <si>
    <t>Município(s) da prestação do serviço:</t>
  </si>
  <si>
    <t>Salário Mínimo Vigente</t>
  </si>
  <si>
    <t>Custo Total</t>
  </si>
  <si>
    <t>Valor Tarifa</t>
  </si>
  <si>
    <t>Bilhete/Dia</t>
  </si>
  <si>
    <t xml:space="preserve">     E.1) Valor Mensal (30% do Salário Mínimo Vigente)</t>
  </si>
  <si>
    <t>Valor (R$)</t>
  </si>
  <si>
    <t>Dias de Ausência no Ano</t>
  </si>
  <si>
    <t>Percentual de Ocorrências por ano</t>
  </si>
  <si>
    <t>BCCPA</t>
  </si>
  <si>
    <t>Módulo 1</t>
  </si>
  <si>
    <t>Módulo 3</t>
  </si>
  <si>
    <t>Substituto na cobertura de Férias</t>
  </si>
  <si>
    <t>Salário-Base</t>
  </si>
  <si>
    <t>Custo do Empregado
(6% do Salário-Base)</t>
  </si>
  <si>
    <t xml:space="preserve">     E.2) % de ocorrência anual</t>
  </si>
  <si>
    <t>Nota 1: o valor informado deverá ser o custo real do insumo (descontado o valor eventualmente pago pelo empregado).
Nota 2: Observar a previsão dos benefícios contidos nos Acordos, Convenções e Dissídios Coletivos de Trabalho e atentar-se ao disposto no Art. 6º desta IN.</t>
  </si>
  <si>
    <t>Multa FGTS sobre Aviso Prévio Trabalhado e sobre o Aviso Prévio Indenizado</t>
  </si>
  <si>
    <t>Nota 1: Os itens que contemplam o Módulo 4 se referem ao custo dos dias trabalhados pelo substituto que por ventura venha cobrir o empregado nos casos de Ausências Legais (Submódulo 4.1) e/ou Intrajornada (Submódulo 4.2.) a depender da prestação de serviço.</t>
  </si>
  <si>
    <t>4.2</t>
  </si>
  <si>
    <t>Tributos</t>
  </si>
  <si>
    <t>SUBTOTAL (A+B+C+D+E)</t>
  </si>
  <si>
    <t>Qtd</t>
  </si>
  <si>
    <t>Vida Útil
Meses</t>
  </si>
  <si>
    <t>Custo
Unitário</t>
  </si>
  <si>
    <t>Unidade
Medida</t>
  </si>
  <si>
    <t>CUSTO TOTAL MENSAL COM UNIFORMES</t>
  </si>
  <si>
    <t>MÓDULO 5 – INSUMOS DIVERSOS
EQUIPAMENTOS</t>
  </si>
  <si>
    <r>
      <t xml:space="preserve">Máquina de café, industrial, retangular, conjugada com três torneiras, com dois depósitos de no mínimo 10 litros cada, em aço inox, </t>
    </r>
    <r>
      <rPr>
        <b/>
        <sz val="11"/>
        <color rgb="FF000000"/>
        <rFont val="Calibri"/>
        <family val="2"/>
      </rPr>
      <t>capacidade até 20 litros</t>
    </r>
    <r>
      <rPr>
        <sz val="11"/>
        <color rgb="FF000000"/>
        <rFont val="Calibri"/>
        <family val="2"/>
      </rPr>
      <t>, com controle termostático de temperatura.</t>
    </r>
  </si>
  <si>
    <t>CUSTO TOTAL MENSAL COM EQUIPAMENTOS</t>
  </si>
  <si>
    <t>Nota: Os Materiais de consumo necessários são uma estimativa da Administração e serão pagos pelo efetivo requisitado e entregue no mês.</t>
  </si>
  <si>
    <r>
      <t xml:space="preserve">MATERIAIS DE CONSUMO 
</t>
    </r>
    <r>
      <rPr>
        <b/>
        <sz val="12"/>
        <color rgb="FFFF0000"/>
        <rFont val="Calibri"/>
        <family val="2"/>
        <scheme val="minor"/>
      </rPr>
      <t>(CUSTO VARIÁVEL)</t>
    </r>
  </si>
  <si>
    <t>São Paulo</t>
  </si>
  <si>
    <t>Razão Social:</t>
  </si>
  <si>
    <t>CNPJ:</t>
  </si>
  <si>
    <t>Endereço:</t>
  </si>
  <si>
    <t>Telefone:</t>
  </si>
  <si>
    <t>(   )</t>
  </si>
  <si>
    <t>E-Mail:</t>
  </si>
  <si>
    <t>ITEM</t>
  </si>
  <si>
    <t>Condições de fornecimento:</t>
  </si>
  <si>
    <t>2) O prazo de prestação do serviço objeto deve obedecer ao estabelecido no Termo de Referência;</t>
  </si>
  <si>
    <t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</si>
  <si>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>4) Para efeito de pagamento informamos os dados bancários: Banco __________, Agência ______________, Conta Corrente _____________________.</t>
  </si>
  <si>
    <t>5) Possuímos pleno conhecimento, concordamos e cumpriremos com todas as disposições contidas no Edital em referência, para o fornecimento do objeto desta licitação e estamos cientes das sanções e penalidades pelo não cumprimento.</t>
  </si>
  <si>
    <t>_____________________________________________</t>
  </si>
  <si>
    <r>
      <t xml:space="preserve">1) O prazo de validade desta proposta comercial é de ___ (__________) dias, contados da data marcada para a abertura do Pregão </t>
    </r>
    <r>
      <rPr>
        <sz val="11"/>
        <color rgb="FFFF0000"/>
        <rFont val="Calibri"/>
        <family val="2"/>
        <scheme val="minor"/>
      </rPr>
      <t>(mínimo 60 dias)</t>
    </r>
    <r>
      <rPr>
        <sz val="11"/>
        <color rgb="FF000000"/>
        <rFont val="Calibri"/>
        <family val="2"/>
        <scheme val="minor"/>
      </rPr>
      <t>.</t>
    </r>
  </si>
  <si>
    <t>Assinatura e carimbo (representante legal da empresa) / Assinado Digitalmente</t>
  </si>
  <si>
    <t>São Paulo - SP</t>
  </si>
  <si>
    <t>VALOR TOTAL POR EMPREGADO - PARTE FIXA</t>
  </si>
  <si>
    <t>Ao final, a aba "Proposta" deverá ser impressa e assinada para remessa com a Planilha de Custos e Formação de Preços.</t>
  </si>
  <si>
    <r>
      <t xml:space="preserve">Benefício Social Sindical  </t>
    </r>
    <r>
      <rPr>
        <b/>
        <i/>
        <sz val="11"/>
        <color rgb="FF000000"/>
        <rFont val="Calibri"/>
        <family val="2"/>
      </rPr>
      <t>(cláusula 22ª da CCT)</t>
    </r>
  </si>
  <si>
    <r>
      <t xml:space="preserve">Dia do Trabalhador em Asseio e Conservação </t>
    </r>
    <r>
      <rPr>
        <b/>
        <i/>
        <sz val="11"/>
        <color rgb="FF000000"/>
        <rFont val="Calibri"/>
        <family val="2"/>
      </rPr>
      <t>(cláusula 70ª da CCT)</t>
    </r>
    <r>
      <rPr>
        <b/>
        <sz val="11"/>
        <color rgb="FF000000"/>
        <rFont val="Calibri"/>
        <family val="2"/>
      </rPr>
      <t>:</t>
    </r>
  </si>
  <si>
    <t>1 de janeiro</t>
  </si>
  <si>
    <r>
      <t>Vale Transporte (</t>
    </r>
    <r>
      <rPr>
        <b/>
        <i/>
        <sz val="11"/>
        <color rgb="FF000000"/>
        <rFont val="Calibri"/>
        <family val="2"/>
      </rPr>
      <t>Cláusula 16ª da CCT</t>
    </r>
    <r>
      <rPr>
        <b/>
        <sz val="11"/>
        <color rgb="FF000000"/>
        <rFont val="Calibri"/>
        <family val="2"/>
      </rPr>
      <t>)</t>
    </r>
  </si>
  <si>
    <r>
      <t xml:space="preserve">Dia do Trabalhador em Asseio e Conservação </t>
    </r>
    <r>
      <rPr>
        <b/>
        <i/>
        <sz val="11"/>
        <color rgb="FF000000"/>
        <rFont val="Calibri"/>
        <family val="2"/>
      </rPr>
      <t>(cláusula 68ª da CCT) -</t>
    </r>
    <r>
      <rPr>
        <i/>
        <sz val="11"/>
        <color rgb="FF000000"/>
        <rFont val="Calibri"/>
        <family val="2"/>
      </rPr>
      <t xml:space="preserve"> Tiquete Refeição adicional em 16/05</t>
    </r>
  </si>
  <si>
    <t>Presumido</t>
  </si>
  <si>
    <t>Esta proposta deverá ser impressa e assinada para remessa com a Planilha de Custos e Formação de Preços.</t>
  </si>
  <si>
    <t>TOTAL MENSAL ESTIMADO</t>
  </si>
  <si>
    <t>TRIBUTOS</t>
  </si>
  <si>
    <t>Água mineral em garrafa descartável de 500ml</t>
  </si>
  <si>
    <t>Água mineral sem gás, galão de 20 litros, embalagem retornável </t>
  </si>
  <si>
    <t>Água mineral sem gás, garrafa de 1,5 litros, embalagem descartável </t>
  </si>
  <si>
    <t>garrafa</t>
  </si>
  <si>
    <t>galão</t>
  </si>
  <si>
    <t>Adoçante Líquido - 100% sucralose - frasco de 60 a 100ml </t>
  </si>
  <si>
    <t>Café SUPERIOR, torrado e moído, embalado a vácuo, 500g</t>
  </si>
  <si>
    <t>Café em grãos, torrado, superior, 1kg, para máquina de café espresso</t>
  </si>
  <si>
    <t>Copo plástico, resistente, polipropileno, descartável para café de 50ml (pacote com 100 unidades) </t>
  </si>
  <si>
    <t>Copo plástico, resistente, polipropileno, descartável para água de 200ml (pacote com 100 unidades) </t>
  </si>
  <si>
    <t>Saponáceo cremoso, tipo Cif ou Sapóleo, frasco de 250 a 300g </t>
  </si>
  <si>
    <t>Sabão de coco em pedra, unidade </t>
  </si>
  <si>
    <t>Limpador multiuso, tipo Veja, frasco com 500ml </t>
  </si>
  <si>
    <t>Pano de limpeza tipo Perflex, rolo de 300m ou de 600 panos </t>
  </si>
  <si>
    <t>Pano para limpeza de chão, saco alvejado, unidade </t>
  </si>
  <si>
    <t>Lã de aço tipo Bombril, pacote com 8 unidades </t>
  </si>
  <si>
    <t>unidade</t>
  </si>
  <si>
    <t>rolo</t>
  </si>
  <si>
    <t>frasco</t>
  </si>
  <si>
    <t>Pasta para dar brilho em alumínio, pote 500g </t>
  </si>
  <si>
    <t>Mexedor biodegradável, de madeira ou bambu, para café, palheta com, no mínimo,  9,5 cm, pacote com 500 unidades </t>
  </si>
  <si>
    <t>Chaleira elétrica de 2L. Vida útil de 30 meses </t>
  </si>
  <si>
    <r>
      <t xml:space="preserve">Máquina automática para café espresso com moedor de grãos acoplado. Não requer auxílio constante da copeira. </t>
    </r>
    <r>
      <rPr>
        <sz val="8"/>
        <color rgb="FF000000"/>
        <rFont val="Calibri"/>
        <family val="2"/>
      </rPr>
      <t> </t>
    </r>
  </si>
  <si>
    <t>Suporte plástico para galão de água de 20l – do tipo balcão/mesa, sem coluna. Cor: branco ou bege.</t>
  </si>
  <si>
    <t>Bebedouro de água para galão de 20L – do tipo coluna. Refrigerado por compressor. Cor: branco ou bege.</t>
  </si>
  <si>
    <t>Colher cabo longo de silicone resistente para mexer café e açúcar.</t>
  </si>
  <si>
    <t xml:space="preserve">Recipiente plástico com fechamento hermético, tamanho aproximado de 1,5 litros, para armazenar alimento não perecível como açúcar, café e sachês de chá, e protegê-los contra contaminação e umidade.  </t>
  </si>
  <si>
    <t xml:space="preserve">Balde ou Bacia de, no mínimo, 5 litros para lavar os panos de prato e panos de chão, ou para manter de molho utensílios durante sua higienização. </t>
  </si>
  <si>
    <t xml:space="preserve">Escorredor de louças em inox. </t>
  </si>
  <si>
    <t>Custos Indiretos / Despesas Administrativas sobre mão de obra</t>
  </si>
  <si>
    <t>Lucro sobre mão de obra</t>
  </si>
  <si>
    <t>CUSTOS INDIRETOS FORNECIMENTO MATERIAL</t>
  </si>
  <si>
    <t>LUCRO SOBRE FORNECIMENTO MATERIAL</t>
  </si>
  <si>
    <t>Camiseta de algodão branca de manga curta</t>
  </si>
  <si>
    <t xml:space="preserve">LUVAS PARA LAVAR LOUÇA  </t>
  </si>
  <si>
    <t>par</t>
  </si>
  <si>
    <t>Suéter de lã ou algodão</t>
  </si>
  <si>
    <t>AVENTAL DE PLÁSTICO - proteção tórax e abdômen</t>
  </si>
  <si>
    <t>AVENTAL DE TECIDO OXFORD - mesma cor da calça/blazer</t>
  </si>
  <si>
    <t>40 (quarenta) horas semanais, diurnas, de segunda a sexta-feira</t>
  </si>
  <si>
    <r>
      <t xml:space="preserve">SUBMÓDULO 4.1 - SUBSTITUTO NAS AUSÊNCIAS LEGAIS - </t>
    </r>
    <r>
      <rPr>
        <b/>
        <sz val="11"/>
        <color rgb="FFFF0000"/>
        <rFont val="Calibri"/>
        <family val="2"/>
      </rPr>
      <t>consideramos o cálculo por ANO e não por período de vigência</t>
    </r>
  </si>
  <si>
    <t>Touca de cozinha em tecido</t>
  </si>
  <si>
    <t>Camiseta de algodão branca de manga longa tecido encorpado para dia frio</t>
  </si>
  <si>
    <t>Total 36 Meses (R$)</t>
  </si>
  <si>
    <t>Preço por posto - Custo Fixo (R$)</t>
  </si>
  <si>
    <t>Total Mensal dos postos (R$)</t>
  </si>
  <si>
    <t>PROPOSTA FINAL
Grupo 1 -  Região Metropolitana de São Paulo e Santos</t>
  </si>
  <si>
    <t>Qtde de postos</t>
  </si>
  <si>
    <t>custos fixos totais do Grupo</t>
  </si>
  <si>
    <t>Total mensal por item</t>
  </si>
  <si>
    <t>custos variáveis totais do Grupo</t>
  </si>
  <si>
    <t>FIXO</t>
  </si>
  <si>
    <t>VARIÁVEL</t>
  </si>
  <si>
    <t>TOTAL POR MÊS</t>
  </si>
  <si>
    <t>Custos totais do Grupo</t>
  </si>
  <si>
    <t>Valor da proposta por mês</t>
  </si>
  <si>
    <t>Valor da proposta por 36 meses (total):</t>
  </si>
  <si>
    <t>Composição do Preço</t>
  </si>
  <si>
    <t>Custos Fixos</t>
  </si>
  <si>
    <t>Custo Variável - Material de Consumo</t>
  </si>
  <si>
    <t>Custos Totais</t>
  </si>
  <si>
    <r>
      <t xml:space="preserve">Iniciar o preenchimento das planilhas pelas </t>
    </r>
    <r>
      <rPr>
        <b/>
        <u/>
        <sz val="12"/>
        <color rgb="FFFFC000"/>
        <rFont val="Calibri"/>
        <family val="2"/>
        <scheme val="minor"/>
      </rPr>
      <t>células amarelas</t>
    </r>
    <r>
      <rPr>
        <sz val="12"/>
        <color rgb="FF333333"/>
        <rFont val="Calibri"/>
        <family val="2"/>
        <scheme val="minor"/>
      </rPr>
      <t>, constantes nas abas "Licitante" e "Licitante - Material de Consumo". Ao final, preencher modelo de proposta constante na aba "Proposta". Você vai ver que todos os valores já estarão automaticamente preenchidos, faltando apenas o preenchimento de alguns dados.</t>
    </r>
  </si>
  <si>
    <t>item/Cidade</t>
  </si>
  <si>
    <t>01/São Paulo</t>
  </si>
  <si>
    <t>02/São Paulo</t>
  </si>
  <si>
    <t>03/São Paulo</t>
  </si>
  <si>
    <t>04/São Paulo</t>
  </si>
  <si>
    <t>05/São Paulo</t>
  </si>
  <si>
    <t>PLANILHA AUXILIAR
Grupo 1 - Região Metropolitana de São Paulo e Santos</t>
  </si>
  <si>
    <t>Guarulhos</t>
  </si>
  <si>
    <t>Santos</t>
  </si>
  <si>
    <t>São José dos Campos</t>
  </si>
  <si>
    <r>
      <t xml:space="preserve">MÓDULO 5 – INSUMOS DIVERSOS - </t>
    </r>
    <r>
      <rPr>
        <b/>
        <sz val="11"/>
        <color rgb="FFFF0000"/>
        <rFont val="Calibri"/>
        <family val="2"/>
      </rPr>
      <t>NÃO ALTERAR QUANTIDADES OU VIDA ÚTIL</t>
    </r>
    <r>
      <rPr>
        <b/>
        <sz val="11"/>
        <color rgb="FF000000"/>
        <rFont val="Calibri"/>
        <family val="2"/>
      </rPr>
      <t xml:space="preserve">
UNIFORMES</t>
    </r>
  </si>
  <si>
    <t>QUANTIDADE DE POSTOS DO ITEM</t>
  </si>
  <si>
    <t>CUSTO POR POSTO</t>
  </si>
  <si>
    <t>ITEM 02</t>
  </si>
  <si>
    <t>ITEM 03</t>
  </si>
  <si>
    <t>ITEM 04</t>
  </si>
  <si>
    <t>ITEM 01</t>
  </si>
  <si>
    <t xml:space="preserve">     Vale-Transporte - o licitante deverá prever seus custos conforme realidade de cada município. Não caberá pedido de aditamento para aumentar o valor, caso lancem valor a menor</t>
  </si>
  <si>
    <t>item 2 - DEINF</t>
  </si>
  <si>
    <t>item 3 - DEOPE</t>
  </si>
  <si>
    <t>VALOR TOTAL MENSAL ESTIMADO POR ÓRGÃO</t>
  </si>
  <si>
    <t>ISSQN - SÃO PAULP</t>
  </si>
  <si>
    <t>ISSQN - GUARULHOS</t>
  </si>
  <si>
    <t>ISSQN - SANTOS</t>
  </si>
  <si>
    <t>ISSQN - SÃO JOSÉ DOS CAMPOS</t>
  </si>
  <si>
    <t>SÃO PAULO</t>
  </si>
  <si>
    <t>SANTOS</t>
  </si>
  <si>
    <t>GUARULHOS</t>
  </si>
  <si>
    <t>SJ CAMPOS</t>
  </si>
  <si>
    <t>SINDICATO</t>
  </si>
  <si>
    <t>SEACSP/SIEMACO</t>
  </si>
  <si>
    <t>Base:</t>
  </si>
  <si>
    <t>ISSQN do município</t>
  </si>
  <si>
    <t>Quantidade de postos</t>
  </si>
  <si>
    <t>Valor total por item - Custos Fixos com mão de obra</t>
  </si>
  <si>
    <t>Valor total do grupo para custo com mão de obra</t>
  </si>
  <si>
    <t>ALFSPO</t>
  </si>
  <si>
    <t>ALFGRU</t>
  </si>
  <si>
    <t>DRFSJC</t>
  </si>
  <si>
    <t>ALFSANTOS</t>
  </si>
  <si>
    <t>DRFSANTOS</t>
  </si>
  <si>
    <t>SRRF/SP</t>
  </si>
  <si>
    <t>DEINF/SP</t>
  </si>
  <si>
    <t>DEOPE/SP</t>
  </si>
  <si>
    <t>DERAT/SP</t>
  </si>
  <si>
    <t>VALOR TOTAL DO GRUPO - MENSAL</t>
  </si>
  <si>
    <t>ANEXO III
PLANILHA DE CUSTO E FORMAÇÃO DE PREÇOS
Grupo 1- São Paulo e Litoral</t>
  </si>
  <si>
    <t>A aba "Copeiragem_Grupo 1" apenas sintetiza os valores lançados nas  abas anteriores.</t>
  </si>
  <si>
    <r>
      <t>__</t>
    </r>
    <r>
      <rPr>
        <u/>
        <sz val="10"/>
        <color rgb="FF000000"/>
        <rFont val="Calibri"/>
        <family val="2"/>
        <scheme val="minor"/>
      </rPr>
      <t>(Local)</t>
    </r>
    <r>
      <rPr>
        <sz val="11"/>
        <color rgb="FF000000"/>
        <rFont val="Calibri"/>
        <family val="2"/>
        <scheme val="minor"/>
      </rPr>
      <t>_______________, ___ de __________ de 2025</t>
    </r>
  </si>
  <si>
    <t>Multa do FGTS sobre Aviso Prévio Indenizado</t>
  </si>
  <si>
    <t>06/São Paulo</t>
  </si>
  <si>
    <t>07/São Paulo</t>
  </si>
  <si>
    <t>08/São Paulo</t>
  </si>
  <si>
    <t>09/Santos</t>
  </si>
  <si>
    <t>10/Santos</t>
  </si>
  <si>
    <t>11/Guarulhos</t>
  </si>
  <si>
    <t>12/São José dos Campos</t>
  </si>
  <si>
    <t>item 1 - SRRF e DIREP</t>
  </si>
  <si>
    <t>item 9 - ALFSTS</t>
  </si>
  <si>
    <t>item 8 - ALFSPO</t>
  </si>
  <si>
    <t>item 7- DERPF</t>
  </si>
  <si>
    <t>item 5- CAC STO AMARO</t>
  </si>
  <si>
    <t>item 6 - DEFIS</t>
  </si>
  <si>
    <t>item 10 - DRFSTS</t>
  </si>
  <si>
    <t>item 11 - ALFGRU</t>
  </si>
  <si>
    <t>item 12 - DRFSJC</t>
  </si>
  <si>
    <t>ITEM 1 SRRF</t>
  </si>
  <si>
    <t>ITEM 2 DEINF</t>
  </si>
  <si>
    <t>ITEM 3 DEOPE</t>
  </si>
  <si>
    <t>ITEM 4 DERAT</t>
  </si>
  <si>
    <t>ITEM 6</t>
  </si>
  <si>
    <t>ITEM 7</t>
  </si>
  <si>
    <t>ITEM 8 ALFSPO</t>
  </si>
  <si>
    <t>ITEM 9 ALFSTS</t>
  </si>
  <si>
    <t>ITEM 10 DRFSTS</t>
  </si>
  <si>
    <t>ITEM 11 ALFGRU</t>
  </si>
  <si>
    <t>ITEM 12 DRFSJC</t>
  </si>
  <si>
    <t>ITEM 5 CAC STO AMARO</t>
  </si>
  <si>
    <t>ITEM 6 DEFIS</t>
  </si>
  <si>
    <t>ITEM 7 DERPF</t>
  </si>
  <si>
    <t>5134-26</t>
  </si>
  <si>
    <t>5134-27</t>
  </si>
  <si>
    <t>5134-28</t>
  </si>
  <si>
    <t>01 janeiro</t>
  </si>
  <si>
    <t>item 5 - Cac Santo Amaro</t>
  </si>
  <si>
    <t>item 6- DEFIS</t>
  </si>
  <si>
    <t>item 7 - DERPF</t>
  </si>
  <si>
    <t>item 10 - DRF/STS</t>
  </si>
  <si>
    <t>item12 -DRFSJC</t>
  </si>
  <si>
    <t>item 1 - SRRF08 incluindo Direp</t>
  </si>
  <si>
    <t>ITEM 5</t>
  </si>
  <si>
    <t>ITEM 8</t>
  </si>
  <si>
    <t>ITEM 9</t>
  </si>
  <si>
    <t>ITEM 10</t>
  </si>
  <si>
    <t>ITEM 11</t>
  </si>
  <si>
    <t>ITEM 12</t>
  </si>
  <si>
    <t>CAC STO AMARO</t>
  </si>
  <si>
    <t>DEFIS</t>
  </si>
  <si>
    <t>DERPF</t>
  </si>
  <si>
    <t>Marca do café</t>
  </si>
  <si>
    <t>Contatos</t>
  </si>
  <si>
    <t>Declaro que todos os equipamentos que serão colocados à disposição são novos .</t>
  </si>
  <si>
    <t>item 4 - DERAT incluindo CAC Pça Ramos e Tatuapé</t>
  </si>
  <si>
    <t>item 4 - DERATSP incluindo Cac Pça Ramos e Tatuapé</t>
  </si>
  <si>
    <t>SEACSP/Sindeturh</t>
  </si>
  <si>
    <t>40 (quarenta) horas semanais, diurnas, de segunda a sexta-feira, sem prejuízo do salário integral</t>
  </si>
  <si>
    <t>Regime Tributário: ao clicar na célula amarela abrirá a seta para escolha (se Presumido ou Real).  Apenas clique na sua opção. Ao clicar, as células para PIS e COFINS serão preenchidas automaticamente.</t>
  </si>
  <si>
    <r>
      <t xml:space="preserve">O percentual de custos indiretos e Luco sobre </t>
    </r>
    <r>
      <rPr>
        <u/>
        <sz val="11"/>
        <color rgb="FFFF0000"/>
        <rFont val="Arial1"/>
      </rPr>
      <t>fornecimento de materia</t>
    </r>
    <r>
      <rPr>
        <sz val="11"/>
        <color rgb="FFFF0000"/>
        <rFont val="Arial1"/>
      </rPr>
      <t>l deverão ser preenchidos na aba Licitante - Material de Consumo.</t>
    </r>
  </si>
  <si>
    <t>13032.127454/2025-68</t>
  </si>
  <si>
    <t>90008/2025</t>
  </si>
  <si>
    <t>Prêmio por assiduidade</t>
  </si>
  <si>
    <t>Meses estimados para pagamento por ano:</t>
  </si>
  <si>
    <t>custo médio mensal estimado do Prêmio por assiduidade:</t>
  </si>
  <si>
    <t>Módulo 2 - VA - VT -Prêmio Assiduidade</t>
  </si>
  <si>
    <r>
      <t xml:space="preserve">Base de Cálculo - Custo de Reposição do Profissional Ausente
BCCPA = Módulo 1 + Módulo 2 (-VA  -VT-P.A) + Férias + Módulo 3
</t>
    </r>
    <r>
      <rPr>
        <i/>
        <sz val="11"/>
        <color rgb="FFFF0000"/>
        <rFont val="Calibri"/>
        <family val="2"/>
      </rPr>
      <t>Exceto o 1) Substituto na cobertura de Férias</t>
    </r>
  </si>
  <si>
    <t>Os meses estimados para pagamento por ano de prêmio de assiduidade devem incluir o mês referente ao pagamento do "cobertura" nas férias do titular.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</si>
</sst>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&quot;R$&quot;\ #,##0.00;\-&quot;R$&quot;\ #,##0.00"/>
    <numFmt numFmtId="164" formatCode="[$R$-416]#,##0.00\ ;\-[$R$-416]#,##0.00\ ;[$R$-416]\-#\ ;\ @\ "/>
    <numFmt numFmtId="165" formatCode="[$R$-416]\ #,##0.00;[Red]\-[$R$-416]\ #,##0.00"/>
    <numFmt numFmtId="166" formatCode="d/m/yy"/>
    <numFmt numFmtId="167" formatCode="0.000%"/>
    <numFmt numFmtId="168" formatCode="0.0000"/>
    <numFmt numFmtId="169" formatCode="[$R$-416]\ #,##0.00;[Red][$R$-416]\ #,##0.00"/>
    <numFmt numFmtId="170" formatCode="&quot;R$&quot;\ #,##0.00"/>
    <numFmt numFmtId="171" formatCode="[$R$-416]\ #,##0.00;\-[$R$-416]\ #,##0.00"/>
    <numFmt numFmtId="172" formatCode="0.0%"/>
    <numFmt numFmtId="173" formatCode="[$R$-416]&quot; &quot;#,##0.00;[Red]&quot;-&quot;[$R$-416]&quot; &quot;#,##0.00"/>
    <numFmt numFmtId="174" formatCode="#,##0.00&quot; &quot;;&quot;(&quot;#,##0.00&quot;)&quot;;&quot;-&quot;#&quot; &quot;;@&quot; &quot;"/>
    <numFmt numFmtId="175" formatCode="&quot;R$&quot;\ #,##0.000"/>
    <numFmt numFmtId="176" formatCode="[$R$-416]\ #,##0.000;[Red]\-[$R$-416]\ #,##0.000"/>
    <numFmt numFmtId="177" formatCode="#,##0_ ;\-#,##0\ "/>
    <numFmt numFmtId="178" formatCode="#,##0.0"/>
    <numFmt numFmtId="179" formatCode="#,##0_ ;[Red]\-#,##0\ "/>
    <numFmt numFmtId="180" formatCode="[$R$-416]#,##0.00\ ;\-[$R$-416]#,##0.00\ ;[$R$-416]\-#\ ;@\ "/>
    <numFmt numFmtId="181" formatCode="[$-416]d\-mmm;@"/>
  </numFmts>
  <fonts count="80">
    <font>
      <sz val="11"/>
      <color rgb="FF000000"/>
      <name val="Arial1"/>
    </font>
    <font>
      <sz val="11"/>
      <color theme="1"/>
      <name val="Calibri"/>
      <family val="2"/>
      <scheme val="minor"/>
    </font>
    <font>
      <sz val="11"/>
      <color rgb="FFFFFFCC"/>
      <name val="Arial1"/>
    </font>
    <font>
      <sz val="11"/>
      <color rgb="FF000000"/>
      <name val="Arial"/>
      <family val="2"/>
    </font>
    <font>
      <b/>
      <i/>
      <u/>
      <sz val="11"/>
      <color rgb="FF000000"/>
      <name val="Arial1"/>
    </font>
    <font>
      <b/>
      <sz val="18"/>
      <color rgb="FF003366"/>
      <name val="Cambria"/>
      <family val="1"/>
    </font>
    <font>
      <b/>
      <sz val="20"/>
      <color rgb="FF333333"/>
      <name val="Calibri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FFFF"/>
      <name val="Calibri"/>
      <family val="2"/>
    </font>
    <font>
      <b/>
      <sz val="11"/>
      <color rgb="FF0066CC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Arial1"/>
    </font>
    <font>
      <b/>
      <sz val="9"/>
      <color indexed="81"/>
      <name val="Segoe UI"/>
      <family val="2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11"/>
      <color rgb="FF000000"/>
      <name val="Calibri"/>
      <family val="2"/>
    </font>
    <font>
      <sz val="9"/>
      <color indexed="81"/>
      <name val="Segoe UI"/>
      <family val="2"/>
    </font>
    <font>
      <sz val="11"/>
      <color rgb="FF0066CC"/>
      <name val="Calibri"/>
      <family val="2"/>
    </font>
    <font>
      <sz val="11"/>
      <color rgb="FF000000"/>
      <name val="Calibri"/>
      <family val="2"/>
      <scheme val="minor"/>
    </font>
    <font>
      <sz val="11"/>
      <color rgb="FF0070C0"/>
      <name val="Calibri"/>
      <family val="2"/>
    </font>
    <font>
      <i/>
      <sz val="11"/>
      <color rgb="FFFF0000"/>
      <name val="Calibri"/>
      <family val="2"/>
    </font>
    <font>
      <b/>
      <i/>
      <sz val="9"/>
      <color indexed="81"/>
      <name val="Segoe UI"/>
      <family val="2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color rgb="FF000000"/>
      <name val="Arial1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2"/>
      <color rgb="FF333333"/>
      <name val="Calibri"/>
      <family val="2"/>
      <scheme val="minor"/>
    </font>
    <font>
      <b/>
      <i/>
      <u/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u/>
      <sz val="12"/>
      <color rgb="FFFFC000"/>
      <name val="Calibri"/>
      <family val="2"/>
      <scheme val="minor"/>
    </font>
    <font>
      <sz val="8"/>
      <color rgb="FF000000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Arial"/>
      <family val="2"/>
    </font>
    <font>
      <b/>
      <sz val="11"/>
      <color rgb="FFFF0000"/>
      <name val="Calibri"/>
      <family val="2"/>
    </font>
    <font>
      <b/>
      <sz val="8"/>
      <color rgb="FF000000"/>
      <name val="Calibri"/>
      <family val="2"/>
    </font>
    <font>
      <b/>
      <sz val="12"/>
      <color rgb="FF000000"/>
      <name val="Arial1"/>
    </font>
    <font>
      <b/>
      <sz val="14"/>
      <color rgb="FF000000"/>
      <name val="Calibri"/>
      <family val="2"/>
      <scheme val="minor"/>
    </font>
    <font>
      <sz val="14"/>
      <color rgb="FF000000"/>
      <name val="Arial1"/>
    </font>
    <font>
      <b/>
      <sz val="18"/>
      <color rgb="FFFF0000"/>
      <name val="Calibri"/>
      <family val="2"/>
      <scheme val="minor"/>
    </font>
    <font>
      <b/>
      <sz val="18"/>
      <color rgb="FFFF0000"/>
      <name val="Arial1"/>
    </font>
    <font>
      <sz val="18"/>
      <color rgb="FFFF0000"/>
      <name val="Arial1"/>
    </font>
    <font>
      <b/>
      <sz val="9"/>
      <color rgb="FF000000"/>
      <name val="Calibri"/>
      <family val="2"/>
    </font>
    <font>
      <sz val="12"/>
      <color rgb="FF000000"/>
      <name val="Arial1"/>
    </font>
    <font>
      <b/>
      <sz val="14"/>
      <color rgb="FF000000"/>
      <name val="Calibri"/>
      <family val="2"/>
    </font>
    <font>
      <b/>
      <sz val="14"/>
      <color rgb="FF000000"/>
      <name val="Arial1"/>
    </font>
    <font>
      <b/>
      <sz val="10"/>
      <color rgb="FF000000"/>
      <name val="Arial1"/>
    </font>
    <font>
      <sz val="11"/>
      <name val="Calibri"/>
      <family val="2"/>
      <scheme val="minor"/>
    </font>
    <font>
      <sz val="11"/>
      <color rgb="FF000000"/>
      <name val="Aptos Narrow"/>
      <family val="2"/>
      <charset val="1"/>
    </font>
    <font>
      <sz val="11"/>
      <color rgb="FFFFFFCC"/>
      <name val="Arial1"/>
      <charset val="1"/>
    </font>
    <font>
      <sz val="11"/>
      <color rgb="FF000000"/>
      <name val="Arial1"/>
      <charset val="1"/>
    </font>
    <font>
      <sz val="11"/>
      <color rgb="FF000000"/>
      <name val="Arial"/>
      <family val="2"/>
      <charset val="1"/>
    </font>
    <font>
      <b/>
      <i/>
      <u/>
      <sz val="11"/>
      <color rgb="FF000000"/>
      <name val="Arial1"/>
      <charset val="1"/>
    </font>
    <font>
      <b/>
      <sz val="18"/>
      <color rgb="FF003366"/>
      <name val="Cambria"/>
      <family val="1"/>
      <charset val="1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242424"/>
      <name val="Calibri"/>
      <family val="2"/>
      <charset val="1"/>
    </font>
    <font>
      <sz val="11"/>
      <color rgb="FF242424"/>
      <name val="Calibri"/>
      <family val="2"/>
      <charset val="1"/>
    </font>
    <font>
      <sz val="8"/>
      <name val="Arial1"/>
    </font>
    <font>
      <b/>
      <sz val="12"/>
      <color rgb="FF242424"/>
      <name val="Calibri"/>
      <family val="2"/>
      <charset val="1"/>
    </font>
    <font>
      <sz val="12"/>
      <color rgb="FF242424"/>
      <name val="Calibri"/>
      <family val="2"/>
      <charset val="1"/>
    </font>
    <font>
      <sz val="11"/>
      <color rgb="FF000000"/>
      <name val="Aptos Narrow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0"/>
      <color rgb="FFFF0000"/>
      <name val="Arial1"/>
    </font>
    <font>
      <sz val="10"/>
      <color rgb="FF000000"/>
      <name val="Arial1"/>
    </font>
    <font>
      <sz val="11"/>
      <color rgb="FFFF0000"/>
      <name val="Arial1"/>
    </font>
    <font>
      <u/>
      <sz val="11"/>
      <color rgb="FFFF0000"/>
      <name val="Arial1"/>
    </font>
    <font>
      <sz val="9"/>
      <color rgb="FF000000"/>
      <name val="Arial1"/>
    </font>
    <font>
      <sz val="14"/>
      <color rgb="FF0000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FE7F5"/>
        <bgColor rgb="FFDDEBF7"/>
      </patternFill>
    </fill>
    <fill>
      <patternFill patternType="solid">
        <fgColor rgb="FF83CAFF"/>
        <bgColor rgb="FF99CCFF"/>
      </patternFill>
    </fill>
    <fill>
      <patternFill patternType="solid">
        <fgColor rgb="FFEEEEEE"/>
        <bgColor rgb="FFEDEDED"/>
      </patternFill>
    </fill>
    <fill>
      <patternFill patternType="solid">
        <fgColor rgb="FFDDEBF7"/>
        <bgColor rgb="FFCFE7F5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DDEBF7"/>
      </patternFill>
    </fill>
    <fill>
      <patternFill patternType="solid">
        <fgColor rgb="FFE7E6E6"/>
        <bgColor rgb="FFEDEDED"/>
      </patternFill>
    </fill>
    <fill>
      <patternFill patternType="solid">
        <fgColor rgb="FFEDEDED"/>
        <bgColor rgb="FFEEEEEE"/>
      </patternFill>
    </fill>
    <fill>
      <patternFill patternType="solid">
        <fgColor rgb="FFFFFF00"/>
        <bgColor rgb="FF99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CFE7F5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FFFFCC"/>
      </patternFill>
    </fill>
    <fill>
      <patternFill patternType="solid">
        <fgColor theme="8" tint="0.79998168889431442"/>
        <bgColor rgb="FF99CCFF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rgb="FFEDEDED"/>
      </patternFill>
    </fill>
    <fill>
      <patternFill patternType="solid">
        <fgColor theme="0"/>
        <bgColor rgb="FFEDEDE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DDEBF7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rgb="FF99CCFF"/>
      </patternFill>
    </fill>
    <fill>
      <patternFill patternType="solid">
        <fgColor theme="4" tint="0.39997558519241921"/>
        <bgColor rgb="FFDDEBF7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rgb="FFEDEDED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7E6E6"/>
        <bgColor rgb="FFE7E6E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</fills>
  <borders count="10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25">
    <xf numFmtId="0" fontId="0" fillId="0" borderId="0"/>
    <xf numFmtId="0" fontId="2" fillId="0" borderId="0" applyBorder="0" applyProtection="0"/>
    <xf numFmtId="0" fontId="2" fillId="0" borderId="0" applyBorder="0" applyProtection="0"/>
    <xf numFmtId="164" fontId="14" fillId="0" borderId="0" applyBorder="0" applyProtection="0"/>
    <xf numFmtId="0" fontId="3" fillId="0" borderId="0" applyBorder="0" applyProtection="0"/>
    <xf numFmtId="165" fontId="4" fillId="0" borderId="0" applyBorder="0" applyProtection="0"/>
    <xf numFmtId="0" fontId="5" fillId="0" borderId="0" applyBorder="0" applyProtection="0"/>
    <xf numFmtId="0" fontId="5" fillId="0" borderId="0" applyBorder="0" applyProtection="0"/>
    <xf numFmtId="9" fontId="14" fillId="0" borderId="0" applyFont="0" applyFill="0" applyBorder="0" applyAlignment="0" applyProtection="0"/>
    <xf numFmtId="174" fontId="32" fillId="0" borderId="0" applyBorder="0" applyProtection="0"/>
    <xf numFmtId="0" fontId="58" fillId="0" borderId="0"/>
    <xf numFmtId="0" fontId="59" fillId="0" borderId="0" applyBorder="0" applyProtection="0"/>
    <xf numFmtId="0" fontId="59" fillId="0" borderId="0" applyBorder="0" applyProtection="0"/>
    <xf numFmtId="180" fontId="60" fillId="0" borderId="0" applyBorder="0" applyProtection="0"/>
    <xf numFmtId="0" fontId="61" fillId="0" borderId="0" applyBorder="0" applyProtection="0"/>
    <xf numFmtId="0" fontId="60" fillId="0" borderId="0"/>
    <xf numFmtId="9" fontId="58" fillId="0" borderId="0" applyBorder="0" applyProtection="0"/>
    <xf numFmtId="165" fontId="62" fillId="0" borderId="0" applyBorder="0" applyProtection="0"/>
    <xf numFmtId="0" fontId="63" fillId="0" borderId="0" applyBorder="0" applyProtection="0"/>
    <xf numFmtId="0" fontId="63" fillId="0" borderId="0" applyBorder="0" applyProtection="0"/>
    <xf numFmtId="0" fontId="1" fillId="0" borderId="0"/>
    <xf numFmtId="0" fontId="14" fillId="0" borderId="0"/>
    <xf numFmtId="164" fontId="14" fillId="0" borderId="0" applyBorder="0" applyProtection="0"/>
    <xf numFmtId="9" fontId="14" fillId="0" borderId="0" applyFont="0" applyFill="0" applyBorder="0" applyAlignment="0" applyProtection="0"/>
    <xf numFmtId="9" fontId="60" fillId="0" borderId="0" applyBorder="0" applyProtection="0"/>
  </cellStyleXfs>
  <cellXfs count="900">
    <xf numFmtId="0" fontId="0" fillId="0" borderId="0" xfId="0"/>
    <xf numFmtId="0" fontId="0" fillId="0" borderId="0" xfId="0"/>
    <xf numFmtId="0" fontId="10" fillId="6" borderId="0" xfId="0" applyFont="1" applyFill="1" applyAlignment="1">
      <alignment vertical="center"/>
    </xf>
    <xf numFmtId="0" fontId="11" fillId="6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8" fillId="6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8" fillId="6" borderId="0" xfId="0" applyNumberFormat="1" applyFont="1" applyFill="1" applyAlignment="1">
      <alignment horizontal="center" vertical="center"/>
    </xf>
    <xf numFmtId="0" fontId="0" fillId="0" borderId="0" xfId="0"/>
    <xf numFmtId="0" fontId="8" fillId="5" borderId="13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8" fillId="14" borderId="34" xfId="0" applyFont="1" applyFill="1" applyBorder="1" applyAlignment="1">
      <alignment horizontal="center" vertical="center"/>
    </xf>
    <xf numFmtId="0" fontId="8" fillId="13" borderId="34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5" borderId="41" xfId="0" applyFont="1" applyFill="1" applyBorder="1" applyAlignment="1">
      <alignment horizontal="center" vertical="center"/>
    </xf>
    <xf numFmtId="10" fontId="7" fillId="0" borderId="34" xfId="0" applyNumberFormat="1" applyFont="1" applyBorder="1" applyAlignment="1">
      <alignment horizontal="center" vertical="center"/>
    </xf>
    <xf numFmtId="10" fontId="7" fillId="0" borderId="34" xfId="0" applyNumberFormat="1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164" fontId="7" fillId="12" borderId="38" xfId="3" applyFont="1" applyFill="1" applyBorder="1" applyAlignment="1">
      <alignment horizontal="center" vertical="center"/>
    </xf>
    <xf numFmtId="164" fontId="7" fillId="16" borderId="38" xfId="3" applyFont="1" applyFill="1" applyBorder="1" applyAlignment="1">
      <alignment horizontal="center" vertical="center"/>
    </xf>
    <xf numFmtId="165" fontId="8" fillId="3" borderId="4" xfId="0" applyNumberFormat="1" applyFont="1" applyFill="1" applyBorder="1" applyAlignment="1">
      <alignment horizontal="center" vertical="center"/>
    </xf>
    <xf numFmtId="165" fontId="7" fillId="12" borderId="34" xfId="0" applyNumberFormat="1" applyFont="1" applyFill="1" applyBorder="1" applyAlignment="1">
      <alignment horizontal="center" vertical="center"/>
    </xf>
    <xf numFmtId="165" fontId="8" fillId="0" borderId="34" xfId="0" applyNumberFormat="1" applyFont="1" applyFill="1" applyBorder="1" applyAlignment="1">
      <alignment horizontal="center" vertical="center"/>
    </xf>
    <xf numFmtId="165" fontId="8" fillId="5" borderId="4" xfId="0" applyNumberFormat="1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14" borderId="35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167" fontId="7" fillId="0" borderId="47" xfId="0" applyNumberFormat="1" applyFont="1" applyBorder="1" applyAlignment="1">
      <alignment horizontal="center" vertical="center"/>
    </xf>
    <xf numFmtId="10" fontId="8" fillId="5" borderId="4" xfId="0" applyNumberFormat="1" applyFont="1" applyFill="1" applyBorder="1" applyAlignment="1">
      <alignment horizontal="center" vertical="center"/>
    </xf>
    <xf numFmtId="10" fontId="7" fillId="0" borderId="47" xfId="0" applyNumberFormat="1" applyFont="1" applyBorder="1" applyAlignment="1">
      <alignment horizontal="center" vertical="center"/>
    </xf>
    <xf numFmtId="10" fontId="8" fillId="2" borderId="4" xfId="0" applyNumberFormat="1" applyFont="1" applyFill="1" applyBorder="1" applyAlignment="1">
      <alignment horizontal="center" vertical="center"/>
    </xf>
    <xf numFmtId="0" fontId="8" fillId="5" borderId="41" xfId="0" applyFont="1" applyFill="1" applyBorder="1" applyAlignment="1">
      <alignment horizontal="center" vertical="center"/>
    </xf>
    <xf numFmtId="165" fontId="8" fillId="12" borderId="34" xfId="0" applyNumberFormat="1" applyFont="1" applyFill="1" applyBorder="1" applyAlignment="1">
      <alignment horizontal="center" vertical="center"/>
    </xf>
    <xf numFmtId="9" fontId="7" fillId="12" borderId="38" xfId="8" applyFont="1" applyFill="1" applyBorder="1" applyAlignment="1">
      <alignment horizontal="center" vertical="center"/>
    </xf>
    <xf numFmtId="165" fontId="8" fillId="16" borderId="34" xfId="0" applyNumberFormat="1" applyFont="1" applyFill="1" applyBorder="1" applyAlignment="1">
      <alignment horizontal="center" vertical="center"/>
    </xf>
    <xf numFmtId="165" fontId="8" fillId="16" borderId="47" xfId="0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170" fontId="0" fillId="0" borderId="0" xfId="0" applyNumberFormat="1"/>
    <xf numFmtId="165" fontId="7" fillId="5" borderId="39" xfId="0" applyNumberFormat="1" applyFont="1" applyFill="1" applyBorder="1" applyAlignment="1">
      <alignment horizontal="right" vertical="center"/>
    </xf>
    <xf numFmtId="165" fontId="7" fillId="5" borderId="34" xfId="0" applyNumberFormat="1" applyFont="1" applyFill="1" applyBorder="1" applyAlignment="1">
      <alignment horizontal="right" vertical="center"/>
    </xf>
    <xf numFmtId="165" fontId="7" fillId="5" borderId="47" xfId="0" applyNumberFormat="1" applyFont="1" applyFill="1" applyBorder="1" applyAlignment="1">
      <alignment horizontal="right" vertical="center"/>
    </xf>
    <xf numFmtId="165" fontId="8" fillId="8" borderId="4" xfId="0" applyNumberFormat="1" applyFont="1" applyFill="1" applyBorder="1" applyAlignment="1">
      <alignment horizontal="right" vertical="center"/>
    </xf>
    <xf numFmtId="170" fontId="7" fillId="0" borderId="39" xfId="0" applyNumberFormat="1" applyFont="1" applyBorder="1" applyAlignment="1">
      <alignment horizontal="center" vertical="center"/>
    </xf>
    <xf numFmtId="165" fontId="7" fillId="12" borderId="47" xfId="0" applyNumberFormat="1" applyFont="1" applyFill="1" applyBorder="1" applyAlignment="1">
      <alignment horizontal="center" vertical="center"/>
    </xf>
    <xf numFmtId="170" fontId="8" fillId="8" borderId="4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7" fillId="0" borderId="47" xfId="0" applyNumberFormat="1" applyFont="1" applyBorder="1" applyAlignment="1">
      <alignment horizontal="center" vertical="center"/>
    </xf>
    <xf numFmtId="170" fontId="8" fillId="5" borderId="4" xfId="0" applyNumberFormat="1" applyFont="1" applyFill="1" applyBorder="1" applyAlignment="1">
      <alignment horizontal="center" vertical="center"/>
    </xf>
    <xf numFmtId="170" fontId="8" fillId="2" borderId="4" xfId="0" applyNumberFormat="1" applyFont="1" applyFill="1" applyBorder="1" applyAlignment="1">
      <alignment horizontal="center" vertical="center"/>
    </xf>
    <xf numFmtId="0" fontId="8" fillId="6" borderId="0" xfId="0" applyFont="1" applyFill="1" applyBorder="1" applyAlignment="1">
      <alignment vertical="center"/>
    </xf>
    <xf numFmtId="165" fontId="8" fillId="6" borderId="0" xfId="0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/>
    </xf>
    <xf numFmtId="0" fontId="20" fillId="0" borderId="5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16" borderId="0" xfId="0" applyFill="1"/>
    <xf numFmtId="0" fontId="7" fillId="6" borderId="31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vertical="center"/>
    </xf>
    <xf numFmtId="0" fontId="7" fillId="6" borderId="63" xfId="0" applyFont="1" applyFill="1" applyBorder="1" applyAlignment="1">
      <alignment horizontal="center" vertical="center"/>
    </xf>
    <xf numFmtId="0" fontId="7" fillId="9" borderId="25" xfId="0" applyFont="1" applyFill="1" applyBorder="1" applyAlignment="1">
      <alignment horizontal="center" vertical="center"/>
    </xf>
    <xf numFmtId="10" fontId="7" fillId="12" borderId="25" xfId="0" applyNumberFormat="1" applyFont="1" applyFill="1" applyBorder="1" applyAlignment="1">
      <alignment horizontal="center" vertical="center"/>
    </xf>
    <xf numFmtId="168" fontId="7" fillId="12" borderId="25" xfId="0" applyNumberFormat="1" applyFont="1" applyFill="1" applyBorder="1" applyAlignment="1">
      <alignment horizontal="center" vertical="center"/>
    </xf>
    <xf numFmtId="9" fontId="7" fillId="0" borderId="4" xfId="8" applyFont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165" fontId="8" fillId="3" borderId="7" xfId="0" applyNumberFormat="1" applyFont="1" applyFill="1" applyBorder="1" applyAlignment="1">
      <alignment horizontal="center" vertical="center"/>
    </xf>
    <xf numFmtId="164" fontId="21" fillId="0" borderId="67" xfId="3" applyFont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/>
    </xf>
    <xf numFmtId="0" fontId="22" fillId="5" borderId="68" xfId="0" applyFont="1" applyFill="1" applyBorder="1" applyAlignment="1">
      <alignment horizontal="center" vertical="center"/>
    </xf>
    <xf numFmtId="0" fontId="8" fillId="17" borderId="37" xfId="0" applyFont="1" applyFill="1" applyBorder="1" applyAlignment="1">
      <alignment horizontal="center" vertical="center"/>
    </xf>
    <xf numFmtId="0" fontId="8" fillId="17" borderId="43" xfId="0" applyFont="1" applyFill="1" applyBorder="1" applyAlignment="1">
      <alignment horizontal="center" vertical="center"/>
    </xf>
    <xf numFmtId="169" fontId="7" fillId="6" borderId="34" xfId="0" applyNumberFormat="1" applyFont="1" applyFill="1" applyBorder="1" applyAlignment="1">
      <alignment horizontal="right" vertical="center"/>
    </xf>
    <xf numFmtId="169" fontId="7" fillId="6" borderId="47" xfId="0" applyNumberFormat="1" applyFont="1" applyFill="1" applyBorder="1" applyAlignment="1">
      <alignment horizontal="right" vertical="center"/>
    </xf>
    <xf numFmtId="0" fontId="7" fillId="0" borderId="40" xfId="0" applyFont="1" applyBorder="1" applyAlignment="1">
      <alignment vertical="center"/>
    </xf>
    <xf numFmtId="9" fontId="7" fillId="0" borderId="40" xfId="8" applyFont="1" applyBorder="1" applyAlignment="1">
      <alignment horizontal="center" vertical="center"/>
    </xf>
    <xf numFmtId="169" fontId="8" fillId="8" borderId="4" xfId="0" applyNumberFormat="1" applyFont="1" applyFill="1" applyBorder="1" applyAlignment="1">
      <alignment horizontal="right" vertical="center"/>
    </xf>
    <xf numFmtId="10" fontId="7" fillId="16" borderId="3" xfId="0" applyNumberFormat="1" applyFont="1" applyFill="1" applyBorder="1" applyAlignment="1">
      <alignment horizontal="center" vertical="center"/>
    </xf>
    <xf numFmtId="168" fontId="7" fillId="16" borderId="3" xfId="0" applyNumberFormat="1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5" fontId="7" fillId="16" borderId="34" xfId="0" applyNumberFormat="1" applyFont="1" applyFill="1" applyBorder="1" applyAlignment="1">
      <alignment horizontal="center" vertical="center"/>
    </xf>
    <xf numFmtId="165" fontId="7" fillId="16" borderId="47" xfId="0" applyNumberFormat="1" applyFont="1" applyFill="1" applyBorder="1" applyAlignment="1">
      <alignment horizontal="center" vertical="center"/>
    </xf>
    <xf numFmtId="0" fontId="8" fillId="5" borderId="37" xfId="0" applyFont="1" applyFill="1" applyBorder="1" applyAlignment="1">
      <alignment horizontal="center" vertical="center"/>
    </xf>
    <xf numFmtId="167" fontId="7" fillId="6" borderId="10" xfId="0" applyNumberFormat="1" applyFont="1" applyFill="1" applyBorder="1" applyAlignment="1">
      <alignment horizontal="center" vertical="center"/>
    </xf>
    <xf numFmtId="10" fontId="7" fillId="0" borderId="12" xfId="0" applyNumberFormat="1" applyFont="1" applyFill="1" applyBorder="1" applyAlignment="1">
      <alignment horizontal="center" vertical="center"/>
    </xf>
    <xf numFmtId="10" fontId="7" fillId="0" borderId="15" xfId="0" applyNumberFormat="1" applyFont="1" applyFill="1" applyBorder="1" applyAlignment="1">
      <alignment horizontal="center" vertical="center"/>
    </xf>
    <xf numFmtId="10" fontId="7" fillId="0" borderId="16" xfId="0" applyNumberFormat="1" applyFont="1" applyFill="1" applyBorder="1" applyAlignment="1">
      <alignment horizontal="center" vertical="center"/>
    </xf>
    <xf numFmtId="165" fontId="7" fillId="0" borderId="39" xfId="0" applyNumberFormat="1" applyFont="1" applyBorder="1" applyAlignment="1">
      <alignment horizontal="right" vertical="center"/>
    </xf>
    <xf numFmtId="165" fontId="7" fillId="0" borderId="34" xfId="0" applyNumberFormat="1" applyFont="1" applyBorder="1" applyAlignment="1">
      <alignment horizontal="right" vertical="center"/>
    </xf>
    <xf numFmtId="0" fontId="8" fillId="5" borderId="42" xfId="0" applyFont="1" applyFill="1" applyBorder="1" applyAlignment="1">
      <alignment horizontal="center" vertical="center"/>
    </xf>
    <xf numFmtId="165" fontId="7" fillId="0" borderId="47" xfId="0" applyNumberFormat="1" applyFont="1" applyBorder="1" applyAlignment="1">
      <alignment horizontal="right" vertical="center"/>
    </xf>
    <xf numFmtId="165" fontId="8" fillId="5" borderId="4" xfId="0" applyNumberFormat="1" applyFont="1" applyFill="1" applyBorder="1" applyAlignment="1">
      <alignment horizontal="right" vertical="center"/>
    </xf>
    <xf numFmtId="0" fontId="8" fillId="2" borderId="57" xfId="0" applyFont="1" applyFill="1" applyBorder="1" applyAlignment="1">
      <alignment horizontal="center" vertical="center"/>
    </xf>
    <xf numFmtId="10" fontId="13" fillId="5" borderId="44" xfId="0" applyNumberFormat="1" applyFont="1" applyFill="1" applyBorder="1" applyAlignment="1">
      <alignment horizontal="center" vertical="center"/>
    </xf>
    <xf numFmtId="10" fontId="7" fillId="6" borderId="45" xfId="0" applyNumberFormat="1" applyFont="1" applyFill="1" applyBorder="1" applyAlignment="1">
      <alignment horizontal="center" vertical="center"/>
    </xf>
    <xf numFmtId="10" fontId="7" fillId="5" borderId="44" xfId="0" applyNumberFormat="1" applyFont="1" applyFill="1" applyBorder="1" applyAlignment="1">
      <alignment horizontal="center" vertical="center"/>
    </xf>
    <xf numFmtId="165" fontId="7" fillId="0" borderId="48" xfId="0" applyNumberFormat="1" applyFont="1" applyBorder="1" applyAlignment="1">
      <alignment horizontal="center" vertical="center"/>
    </xf>
    <xf numFmtId="165" fontId="7" fillId="5" borderId="4" xfId="0" applyNumberFormat="1" applyFont="1" applyFill="1" applyBorder="1" applyAlignment="1">
      <alignment horizontal="center" vertical="center"/>
    </xf>
    <xf numFmtId="20" fontId="7" fillId="0" borderId="14" xfId="0" applyNumberFormat="1" applyFont="1" applyBorder="1" applyAlignment="1">
      <alignment horizontal="center" vertical="center"/>
    </xf>
    <xf numFmtId="165" fontId="8" fillId="13" borderId="34" xfId="0" applyNumberFormat="1" applyFont="1" applyFill="1" applyBorder="1" applyAlignment="1">
      <alignment horizontal="center" vertical="center"/>
    </xf>
    <xf numFmtId="170" fontId="8" fillId="13" borderId="34" xfId="0" applyNumberFormat="1" applyFont="1" applyFill="1" applyBorder="1" applyAlignment="1">
      <alignment horizontal="center" vertical="center"/>
    </xf>
    <xf numFmtId="165" fontId="8" fillId="14" borderId="34" xfId="0" applyNumberFormat="1" applyFont="1" applyFill="1" applyBorder="1" applyAlignment="1">
      <alignment horizontal="center" vertical="center"/>
    </xf>
    <xf numFmtId="14" fontId="8" fillId="13" borderId="35" xfId="0" applyNumberFormat="1" applyFont="1" applyFill="1" applyBorder="1" applyAlignment="1">
      <alignment horizontal="center" vertical="center"/>
    </xf>
    <xf numFmtId="1" fontId="7" fillId="16" borderId="38" xfId="3" applyNumberFormat="1" applyFont="1" applyFill="1" applyBorder="1" applyAlignment="1">
      <alignment horizontal="center" vertical="center"/>
    </xf>
    <xf numFmtId="165" fontId="7" fillId="19" borderId="34" xfId="0" applyNumberFormat="1" applyFont="1" applyFill="1" applyBorder="1" applyAlignment="1">
      <alignment vertical="center"/>
    </xf>
    <xf numFmtId="165" fontId="7" fillId="19" borderId="47" xfId="0" applyNumberFormat="1" applyFont="1" applyFill="1" applyBorder="1" applyAlignment="1">
      <alignment vertical="center"/>
    </xf>
    <xf numFmtId="165" fontId="8" fillId="19" borderId="4" xfId="0" applyNumberFormat="1" applyFont="1" applyFill="1" applyBorder="1" applyAlignment="1">
      <alignment vertical="center"/>
    </xf>
    <xf numFmtId="0" fontId="7" fillId="19" borderId="4" xfId="0" applyFont="1" applyFill="1" applyBorder="1" applyAlignment="1">
      <alignment horizontal="center" vertical="center"/>
    </xf>
    <xf numFmtId="167" fontId="7" fillId="6" borderId="39" xfId="0" applyNumberFormat="1" applyFont="1" applyFill="1" applyBorder="1" applyAlignment="1">
      <alignment horizontal="center" vertical="center"/>
    </xf>
    <xf numFmtId="10" fontId="7" fillId="0" borderId="35" xfId="0" applyNumberFormat="1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/>
    </xf>
    <xf numFmtId="0" fontId="7" fillId="5" borderId="78" xfId="0" applyFont="1" applyFill="1" applyBorder="1" applyAlignment="1">
      <alignment vertical="center"/>
    </xf>
    <xf numFmtId="0" fontId="7" fillId="5" borderId="79" xfId="0" applyFont="1" applyFill="1" applyBorder="1" applyAlignment="1">
      <alignment vertical="center"/>
    </xf>
    <xf numFmtId="0" fontId="7" fillId="5" borderId="42" xfId="0" applyFont="1" applyFill="1" applyBorder="1" applyAlignment="1">
      <alignment horizontal="center" vertical="center"/>
    </xf>
    <xf numFmtId="10" fontId="7" fillId="0" borderId="16" xfId="0" applyNumberFormat="1" applyFont="1" applyBorder="1" applyAlignment="1">
      <alignment horizontal="center" vertical="center"/>
    </xf>
    <xf numFmtId="169" fontId="7" fillId="6" borderId="34" xfId="0" applyNumberFormat="1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165" fontId="7" fillId="0" borderId="34" xfId="0" applyNumberFormat="1" applyFont="1" applyBorder="1" applyAlignment="1">
      <alignment horizontal="center" vertical="center"/>
    </xf>
    <xf numFmtId="165" fontId="7" fillId="0" borderId="47" xfId="0" applyNumberFormat="1" applyFont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  <xf numFmtId="0" fontId="7" fillId="0" borderId="27" xfId="0" applyFont="1" applyBorder="1" applyAlignment="1">
      <alignment vertical="center"/>
    </xf>
    <xf numFmtId="0" fontId="7" fillId="5" borderId="37" xfId="0" applyFont="1" applyFill="1" applyBorder="1" applyAlignment="1">
      <alignment horizontal="center"/>
    </xf>
    <xf numFmtId="0" fontId="0" fillId="0" borderId="0" xfId="0" applyAlignment="1">
      <alignment vertical="center"/>
    </xf>
    <xf numFmtId="169" fontId="8" fillId="8" borderId="4" xfId="0" applyNumberFormat="1" applyFont="1" applyFill="1" applyBorder="1" applyAlignment="1">
      <alignment horizontal="center" vertical="center"/>
    </xf>
    <xf numFmtId="0" fontId="27" fillId="0" borderId="0" xfId="0" applyFont="1" applyAlignment="1"/>
    <xf numFmtId="170" fontId="21" fillId="12" borderId="3" xfId="3" applyNumberFormat="1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170" fontId="21" fillId="12" borderId="9" xfId="3" applyNumberFormat="1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170" fontId="21" fillId="12" borderId="14" xfId="3" applyNumberFormat="1" applyFont="1" applyFill="1" applyBorder="1" applyAlignment="1">
      <alignment horizontal="center" vertical="center"/>
    </xf>
    <xf numFmtId="164" fontId="25" fillId="21" borderId="4" xfId="3" applyFont="1" applyFill="1" applyBorder="1" applyAlignment="1">
      <alignment horizontal="center" vertical="center"/>
    </xf>
    <xf numFmtId="0" fontId="8" fillId="14" borderId="6" xfId="0" applyFont="1" applyFill="1" applyBorder="1" applyAlignment="1">
      <alignment vertical="center"/>
    </xf>
    <xf numFmtId="0" fontId="8" fillId="14" borderId="0" xfId="0" applyFont="1" applyFill="1" applyBorder="1" applyAlignment="1">
      <alignment vertical="center"/>
    </xf>
    <xf numFmtId="10" fontId="7" fillId="12" borderId="67" xfId="0" applyNumberFormat="1" applyFont="1" applyFill="1" applyBorder="1" applyAlignment="1">
      <alignment horizontal="center" vertical="center"/>
    </xf>
    <xf numFmtId="10" fontId="7" fillId="12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170" fontId="7" fillId="18" borderId="10" xfId="0" applyNumberFormat="1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  <xf numFmtId="170" fontId="21" fillId="12" borderId="42" xfId="3" applyNumberFormat="1" applyFont="1" applyFill="1" applyBorder="1" applyAlignment="1">
      <alignment horizontal="center" vertical="center"/>
    </xf>
    <xf numFmtId="164" fontId="25" fillId="16" borderId="0" xfId="3" applyFont="1" applyFill="1" applyBorder="1" applyAlignment="1">
      <alignment horizontal="center" vertical="center"/>
    </xf>
    <xf numFmtId="0" fontId="7" fillId="6" borderId="40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165" fontId="8" fillId="0" borderId="39" xfId="0" applyNumberFormat="1" applyFont="1" applyFill="1" applyBorder="1" applyAlignment="1">
      <alignment horizontal="center" vertical="center"/>
    </xf>
    <xf numFmtId="0" fontId="0" fillId="0" borderId="0" xfId="0" applyBorder="1"/>
    <xf numFmtId="0" fontId="7" fillId="3" borderId="10" xfId="0" applyFont="1" applyFill="1" applyBorder="1" applyAlignment="1">
      <alignment horizontal="center" vertical="center"/>
    </xf>
    <xf numFmtId="9" fontId="7" fillId="22" borderId="14" xfId="0" applyNumberFormat="1" applyFont="1" applyFill="1" applyBorder="1" applyAlignment="1">
      <alignment horizontal="center" vertical="center"/>
    </xf>
    <xf numFmtId="169" fontId="7" fillId="0" borderId="14" xfId="0" applyNumberFormat="1" applyFont="1" applyBorder="1" applyAlignment="1">
      <alignment horizontal="center" vertical="center"/>
    </xf>
    <xf numFmtId="10" fontId="7" fillId="6" borderId="15" xfId="0" applyNumberFormat="1" applyFont="1" applyFill="1" applyBorder="1" applyAlignment="1">
      <alignment horizontal="center" vertical="center"/>
    </xf>
    <xf numFmtId="0" fontId="21" fillId="0" borderId="0" xfId="0" applyFont="1"/>
    <xf numFmtId="0" fontId="21" fillId="9" borderId="3" xfId="0" applyFont="1" applyFill="1" applyBorder="1" applyAlignment="1">
      <alignment horizontal="left" vertical="center" wrapText="1"/>
    </xf>
    <xf numFmtId="0" fontId="21" fillId="9" borderId="3" xfId="0" applyFont="1" applyFill="1" applyBorder="1" applyAlignment="1">
      <alignment horizontal="center" vertical="center" wrapText="1"/>
    </xf>
    <xf numFmtId="0" fontId="21" fillId="10" borderId="3" xfId="0" applyFont="1" applyFill="1" applyBorder="1" applyAlignment="1">
      <alignment horizontal="center" vertical="center" wrapText="1"/>
    </xf>
    <xf numFmtId="0" fontId="21" fillId="10" borderId="3" xfId="0" applyFont="1" applyFill="1" applyBorder="1" applyAlignment="1">
      <alignment horizontal="left" vertical="center" wrapText="1"/>
    </xf>
    <xf numFmtId="0" fontId="21" fillId="4" borderId="3" xfId="0" applyFont="1" applyFill="1" applyBorder="1" applyAlignment="1">
      <alignment horizontal="left" vertical="center" wrapText="1"/>
    </xf>
    <xf numFmtId="165" fontId="21" fillId="12" borderId="16" xfId="0" applyNumberFormat="1" applyFont="1" applyFill="1" applyBorder="1" applyAlignment="1">
      <alignment horizontal="center" vertical="center" wrapText="1"/>
    </xf>
    <xf numFmtId="1" fontId="21" fillId="9" borderId="11" xfId="0" applyNumberFormat="1" applyFont="1" applyFill="1" applyBorder="1" applyAlignment="1">
      <alignment horizontal="center" vertical="center" wrapText="1"/>
    </xf>
    <xf numFmtId="1" fontId="21" fillId="9" borderId="13" xfId="0" applyNumberFormat="1" applyFont="1" applyFill="1" applyBorder="1" applyAlignment="1">
      <alignment horizontal="center" vertical="center" wrapText="1"/>
    </xf>
    <xf numFmtId="0" fontId="21" fillId="9" borderId="37" xfId="0" applyFont="1" applyFill="1" applyBorder="1" applyAlignment="1">
      <alignment horizontal="left" vertical="center" wrapText="1"/>
    </xf>
    <xf numFmtId="0" fontId="21" fillId="9" borderId="37" xfId="0" applyFont="1" applyFill="1" applyBorder="1" applyAlignment="1">
      <alignment horizontal="center" vertical="center" wrapText="1"/>
    </xf>
    <xf numFmtId="1" fontId="21" fillId="9" borderId="36" xfId="0" applyNumberFormat="1" applyFont="1" applyFill="1" applyBorder="1" applyAlignment="1">
      <alignment horizontal="center" vertical="center" wrapText="1"/>
    </xf>
    <xf numFmtId="165" fontId="21" fillId="8" borderId="43" xfId="0" applyNumberFormat="1" applyFont="1" applyFill="1" applyBorder="1" applyAlignment="1">
      <alignment horizontal="center" vertical="center" wrapText="1"/>
    </xf>
    <xf numFmtId="0" fontId="21" fillId="10" borderId="42" xfId="0" applyFont="1" applyFill="1" applyBorder="1" applyAlignment="1">
      <alignment horizontal="left" vertical="center" wrapText="1"/>
    </xf>
    <xf numFmtId="165" fontId="21" fillId="12" borderId="40" xfId="0" applyNumberFormat="1" applyFont="1" applyFill="1" applyBorder="1" applyAlignment="1">
      <alignment horizontal="center" vertical="center" wrapText="1"/>
    </xf>
    <xf numFmtId="165" fontId="25" fillId="8" borderId="4" xfId="0" applyNumberFormat="1" applyFont="1" applyFill="1" applyBorder="1" applyAlignment="1">
      <alignment horizontal="center" vertical="center" wrapText="1"/>
    </xf>
    <xf numFmtId="0" fontId="21" fillId="0" borderId="0" xfId="0" applyFont="1"/>
    <xf numFmtId="165" fontId="8" fillId="3" borderId="39" xfId="0" applyNumberFormat="1" applyFont="1" applyFill="1" applyBorder="1" applyAlignment="1">
      <alignment horizontal="center" vertical="center"/>
    </xf>
    <xf numFmtId="0" fontId="8" fillId="19" borderId="11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left" vertical="center"/>
    </xf>
    <xf numFmtId="0" fontId="33" fillId="0" borderId="84" xfId="0" applyFont="1" applyBorder="1" applyAlignment="1">
      <alignment horizontal="center" vertical="center"/>
    </xf>
    <xf numFmtId="175" fontId="33" fillId="0" borderId="0" xfId="9" applyNumberFormat="1" applyFont="1" applyAlignment="1">
      <alignment horizontal="center" vertical="center"/>
    </xf>
    <xf numFmtId="170" fontId="33" fillId="0" borderId="0" xfId="9" applyNumberFormat="1" applyFont="1" applyAlignment="1">
      <alignment horizontal="center" vertical="center"/>
    </xf>
    <xf numFmtId="0" fontId="33" fillId="0" borderId="85" xfId="0" applyFont="1" applyBorder="1" applyAlignment="1">
      <alignment horizontal="left" vertical="center"/>
    </xf>
    <xf numFmtId="0" fontId="21" fillId="0" borderId="61" xfId="0" applyFont="1" applyBorder="1"/>
    <xf numFmtId="0" fontId="21" fillId="0" borderId="0" xfId="0" applyFont="1" applyBorder="1"/>
    <xf numFmtId="0" fontId="21" fillId="0" borderId="76" xfId="0" applyFont="1" applyBorder="1"/>
    <xf numFmtId="0" fontId="21" fillId="0" borderId="61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76" xfId="0" applyFont="1" applyBorder="1" applyAlignment="1">
      <alignment horizontal="left" vertical="center" wrapText="1"/>
    </xf>
    <xf numFmtId="0" fontId="21" fillId="0" borderId="61" xfId="0" applyFont="1" applyBorder="1" applyAlignment="1">
      <alignment horizontal="center"/>
    </xf>
    <xf numFmtId="0" fontId="21" fillId="0" borderId="70" xfId="0" applyFont="1" applyBorder="1"/>
    <xf numFmtId="0" fontId="21" fillId="0" borderId="75" xfId="0" applyFont="1" applyBorder="1"/>
    <xf numFmtId="0" fontId="21" fillId="0" borderId="73" xfId="0" applyFont="1" applyBorder="1"/>
    <xf numFmtId="0" fontId="21" fillId="0" borderId="0" xfId="0" applyFont="1"/>
    <xf numFmtId="0" fontId="36" fillId="0" borderId="61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76" xfId="0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165" fontId="7" fillId="0" borderId="39" xfId="0" applyNumberFormat="1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left" vertical="center" wrapText="1"/>
    </xf>
    <xf numFmtId="49" fontId="37" fillId="0" borderId="3" xfId="0" applyNumberFormat="1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left" vertical="center" wrapText="1"/>
    </xf>
    <xf numFmtId="169" fontId="7" fillId="6" borderId="39" xfId="0" applyNumberFormat="1" applyFont="1" applyFill="1" applyBorder="1" applyAlignment="1">
      <alignment horizontal="center" vertical="center"/>
    </xf>
    <xf numFmtId="165" fontId="8" fillId="6" borderId="47" xfId="0" applyNumberFormat="1" applyFont="1" applyFill="1" applyBorder="1" applyAlignment="1">
      <alignment horizontal="center" vertical="center"/>
    </xf>
    <xf numFmtId="0" fontId="38" fillId="0" borderId="61" xfId="0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76" xfId="0" applyFont="1" applyBorder="1" applyAlignment="1">
      <alignment horizontal="center"/>
    </xf>
    <xf numFmtId="0" fontId="21" fillId="0" borderId="0" xfId="0" applyFont="1"/>
    <xf numFmtId="0" fontId="8" fillId="6" borderId="3" xfId="0" applyFont="1" applyFill="1" applyBorder="1" applyAlignment="1">
      <alignment horizontal="left" vertical="center"/>
    </xf>
    <xf numFmtId="0" fontId="8" fillId="20" borderId="71" xfId="0" applyFont="1" applyFill="1" applyBorder="1" applyAlignment="1">
      <alignment horizontal="center" vertical="center"/>
    </xf>
    <xf numFmtId="0" fontId="8" fillId="20" borderId="68" xfId="0" applyFont="1" applyFill="1" applyBorder="1" applyAlignment="1">
      <alignment horizontal="center" vertical="center"/>
    </xf>
    <xf numFmtId="0" fontId="8" fillId="20" borderId="74" xfId="0" applyFont="1" applyFill="1" applyBorder="1" applyAlignment="1">
      <alignment horizontal="center" vertical="center"/>
    </xf>
    <xf numFmtId="0" fontId="8" fillId="20" borderId="23" xfId="0" applyFont="1" applyFill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165" fontId="25" fillId="8" borderId="87" xfId="0" applyNumberFormat="1" applyFont="1" applyFill="1" applyBorder="1" applyAlignment="1">
      <alignment horizontal="center" vertical="center" wrapText="1"/>
    </xf>
    <xf numFmtId="0" fontId="21" fillId="0" borderId="3" xfId="0" applyFont="1" applyBorder="1" applyAlignment="1"/>
    <xf numFmtId="0" fontId="21" fillId="0" borderId="3" xfId="0" applyFont="1" applyBorder="1"/>
    <xf numFmtId="165" fontId="25" fillId="26" borderId="3" xfId="0" applyNumberFormat="1" applyFont="1" applyFill="1" applyBorder="1"/>
    <xf numFmtId="0" fontId="7" fillId="6" borderId="75" xfId="0" applyFont="1" applyFill="1" applyBorder="1" applyAlignment="1">
      <alignment horizontal="center" vertical="center"/>
    </xf>
    <xf numFmtId="0" fontId="21" fillId="27" borderId="3" xfId="0" applyFont="1" applyFill="1" applyBorder="1"/>
    <xf numFmtId="0" fontId="21" fillId="12" borderId="3" xfId="0" applyFont="1" applyFill="1" applyBorder="1" applyAlignment="1">
      <alignment horizontal="center" vertical="center"/>
    </xf>
    <xf numFmtId="1" fontId="21" fillId="9" borderId="3" xfId="0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left" vertical="center"/>
    </xf>
    <xf numFmtId="0" fontId="7" fillId="6" borderId="17" xfId="0" applyFont="1" applyFill="1" applyBorder="1" applyAlignment="1">
      <alignment horizontal="left" vertical="center"/>
    </xf>
    <xf numFmtId="0" fontId="7" fillId="6" borderId="18" xfId="0" applyFont="1" applyFill="1" applyBorder="1" applyAlignment="1">
      <alignment horizontal="left" vertical="center"/>
    </xf>
    <xf numFmtId="0" fontId="8" fillId="17" borderId="0" xfId="0" applyFont="1" applyFill="1" applyBorder="1" applyAlignment="1">
      <alignment horizontal="center" vertical="center"/>
    </xf>
    <xf numFmtId="165" fontId="8" fillId="16" borderId="47" xfId="0" applyNumberFormat="1" applyFont="1" applyFill="1" applyBorder="1" applyAlignment="1">
      <alignment horizontal="center" vertical="center"/>
    </xf>
    <xf numFmtId="165" fontId="8" fillId="0" borderId="39" xfId="0" applyNumberFormat="1" applyFont="1" applyFill="1" applyBorder="1" applyAlignment="1">
      <alignment horizontal="center" vertical="center"/>
    </xf>
    <xf numFmtId="167" fontId="21" fillId="0" borderId="16" xfId="0" applyNumberFormat="1" applyFont="1" applyBorder="1" applyAlignment="1">
      <alignment horizontal="center"/>
    </xf>
    <xf numFmtId="167" fontId="21" fillId="0" borderId="17" xfId="0" applyNumberFormat="1" applyFont="1" applyBorder="1" applyAlignment="1">
      <alignment horizontal="center"/>
    </xf>
    <xf numFmtId="167" fontId="21" fillId="0" borderId="18" xfId="0" applyNumberFormat="1" applyFont="1" applyBorder="1" applyAlignment="1">
      <alignment horizontal="center"/>
    </xf>
    <xf numFmtId="0" fontId="8" fillId="3" borderId="64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0" fillId="0" borderId="0" xfId="0" applyBorder="1"/>
    <xf numFmtId="0" fontId="7" fillId="6" borderId="41" xfId="0" applyFont="1" applyFill="1" applyBorder="1" applyAlignment="1">
      <alignment horizontal="center" vertical="center"/>
    </xf>
    <xf numFmtId="170" fontId="7" fillId="18" borderId="74" xfId="0" applyNumberFormat="1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horizontal="center" vertical="center"/>
    </xf>
    <xf numFmtId="170" fontId="7" fillId="18" borderId="43" xfId="0" applyNumberFormat="1" applyFont="1" applyFill="1" applyBorder="1" applyAlignment="1">
      <alignment horizontal="center" vertical="center"/>
    </xf>
    <xf numFmtId="170" fontId="7" fillId="18" borderId="3" xfId="0" applyNumberFormat="1" applyFont="1" applyFill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8" fillId="29" borderId="85" xfId="0" applyFont="1" applyFill="1" applyBorder="1" applyAlignment="1">
      <alignment horizontal="center" vertical="center"/>
    </xf>
    <xf numFmtId="0" fontId="28" fillId="29" borderId="84" xfId="0" applyFont="1" applyFill="1" applyBorder="1" applyAlignment="1">
      <alignment horizontal="justify" vertical="justify"/>
    </xf>
    <xf numFmtId="0" fontId="28" fillId="29" borderId="84" xfId="0" applyFont="1" applyFill="1" applyBorder="1" applyAlignment="1">
      <alignment horizontal="center" vertical="center" wrapText="1"/>
    </xf>
    <xf numFmtId="0" fontId="28" fillId="29" borderId="84" xfId="0" applyFont="1" applyFill="1" applyBorder="1" applyAlignment="1">
      <alignment horizontal="center" vertical="center"/>
    </xf>
    <xf numFmtId="0" fontId="28" fillId="29" borderId="95" xfId="0" applyFont="1" applyFill="1" applyBorder="1" applyAlignment="1">
      <alignment horizontal="center" vertical="center"/>
    </xf>
    <xf numFmtId="0" fontId="28" fillId="29" borderId="94" xfId="0" applyFont="1" applyFill="1" applyBorder="1" applyAlignment="1">
      <alignment horizontal="center" vertical="center"/>
    </xf>
    <xf numFmtId="0" fontId="28" fillId="29" borderId="3" xfId="0" applyFont="1" applyFill="1" applyBorder="1" applyAlignment="1">
      <alignment horizontal="center" vertical="center"/>
    </xf>
    <xf numFmtId="0" fontId="28" fillId="29" borderId="42" xfId="0" applyFont="1" applyFill="1" applyBorder="1" applyAlignment="1">
      <alignment horizontal="center" vertical="center"/>
    </xf>
    <xf numFmtId="0" fontId="33" fillId="0" borderId="95" xfId="0" applyFont="1" applyBorder="1" applyAlignment="1">
      <alignment horizontal="left" vertical="center"/>
    </xf>
    <xf numFmtId="0" fontId="28" fillId="16" borderId="3" xfId="0" applyFont="1" applyFill="1" applyBorder="1" applyAlignment="1">
      <alignment horizontal="center"/>
    </xf>
    <xf numFmtId="0" fontId="25" fillId="16" borderId="3" xfId="0" applyFont="1" applyFill="1" applyBorder="1" applyAlignment="1">
      <alignment horizontal="center" vertical="center"/>
    </xf>
    <xf numFmtId="1" fontId="21" fillId="9" borderId="37" xfId="0" applyNumberFormat="1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/>
    </xf>
    <xf numFmtId="0" fontId="8" fillId="17" borderId="3" xfId="0" applyFont="1" applyFill="1" applyBorder="1" applyAlignment="1">
      <alignment horizontal="center" vertical="center"/>
    </xf>
    <xf numFmtId="165" fontId="8" fillId="17" borderId="3" xfId="0" applyNumberFormat="1" applyFont="1" applyFill="1" applyBorder="1" applyAlignment="1">
      <alignment horizontal="center" vertical="center"/>
    </xf>
    <xf numFmtId="0" fontId="0" fillId="0" borderId="3" xfId="0" applyBorder="1"/>
    <xf numFmtId="0" fontId="21" fillId="12" borderId="87" xfId="0" applyFont="1" applyFill="1" applyBorder="1" applyAlignment="1">
      <alignment horizontal="center" vertical="center"/>
    </xf>
    <xf numFmtId="10" fontId="7" fillId="0" borderId="3" xfId="0" applyNumberFormat="1" applyFont="1" applyFill="1" applyBorder="1" applyAlignment="1">
      <alignment horizontal="center" vertical="center"/>
    </xf>
    <xf numFmtId="10" fontId="26" fillId="0" borderId="3" xfId="0" applyNumberFormat="1" applyFont="1" applyBorder="1" applyAlignment="1">
      <alignment horizontal="center" vertical="center"/>
    </xf>
    <xf numFmtId="0" fontId="0" fillId="21" borderId="3" xfId="0" applyFill="1" applyBorder="1"/>
    <xf numFmtId="0" fontId="0" fillId="0" borderId="0" xfId="0" applyFill="1" applyBorder="1"/>
    <xf numFmtId="170" fontId="7" fillId="0" borderId="10" xfId="0" applyNumberFormat="1" applyFont="1" applyFill="1" applyBorder="1" applyAlignment="1">
      <alignment horizontal="center" vertical="center"/>
    </xf>
    <xf numFmtId="4" fontId="25" fillId="21" borderId="3" xfId="3" applyNumberFormat="1" applyFont="1" applyFill="1" applyBorder="1" applyAlignment="1">
      <alignment horizontal="center" vertical="center"/>
    </xf>
    <xf numFmtId="10" fontId="0" fillId="16" borderId="3" xfId="0" applyNumberFormat="1" applyFill="1" applyBorder="1" applyAlignment="1">
      <alignment horizontal="center" vertical="center"/>
    </xf>
    <xf numFmtId="0" fontId="0" fillId="16" borderId="0" xfId="0" applyFill="1" applyBorder="1"/>
    <xf numFmtId="0" fontId="0" fillId="16" borderId="0" xfId="0" applyFill="1" applyBorder="1" applyAlignment="1">
      <alignment horizontal="center" vertical="center"/>
    </xf>
    <xf numFmtId="165" fontId="8" fillId="16" borderId="0" xfId="0" applyNumberFormat="1" applyFont="1" applyFill="1" applyBorder="1" applyAlignment="1">
      <alignment horizontal="center" vertical="center"/>
    </xf>
    <xf numFmtId="165" fontId="8" fillId="3" borderId="3" xfId="0" applyNumberFormat="1" applyFont="1" applyFill="1" applyBorder="1" applyAlignment="1">
      <alignment horizontal="center" vertical="center"/>
    </xf>
    <xf numFmtId="165" fontId="8" fillId="12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78" fontId="21" fillId="9" borderId="11" xfId="0" applyNumberFormat="1" applyFont="1" applyFill="1" applyBorder="1" applyAlignment="1">
      <alignment horizontal="center" vertical="center" wrapText="1"/>
    </xf>
    <xf numFmtId="0" fontId="21" fillId="16" borderId="0" xfId="0" applyFont="1" applyFill="1"/>
    <xf numFmtId="167" fontId="0" fillId="0" borderId="17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10" fontId="7" fillId="0" borderId="0" xfId="0" applyNumberFormat="1" applyFont="1" applyFill="1" applyBorder="1" applyAlignment="1">
      <alignment horizontal="center" vertical="center"/>
    </xf>
    <xf numFmtId="10" fontId="7" fillId="16" borderId="0" xfId="0" applyNumberFormat="1" applyFont="1" applyFill="1" applyBorder="1" applyAlignment="1">
      <alignment horizontal="center" vertical="center"/>
    </xf>
    <xf numFmtId="10" fontId="0" fillId="16" borderId="0" xfId="0" applyNumberFormat="1" applyFill="1" applyBorder="1" applyAlignment="1">
      <alignment horizontal="center" vertical="center"/>
    </xf>
    <xf numFmtId="176" fontId="21" fillId="0" borderId="3" xfId="0" applyNumberFormat="1" applyFont="1" applyBorder="1"/>
    <xf numFmtId="10" fontId="0" fillId="0" borderId="17" xfId="0" applyNumberFormat="1" applyBorder="1" applyAlignment="1">
      <alignment horizontal="center"/>
    </xf>
    <xf numFmtId="176" fontId="21" fillId="16" borderId="3" xfId="0" applyNumberFormat="1" applyFont="1" applyFill="1" applyBorder="1" applyAlignment="1"/>
    <xf numFmtId="176" fontId="21" fillId="16" borderId="3" xfId="0" applyNumberFormat="1" applyFont="1" applyFill="1" applyBorder="1"/>
    <xf numFmtId="4" fontId="21" fillId="16" borderId="3" xfId="0" applyNumberFormat="1" applyFont="1" applyFill="1" applyBorder="1"/>
    <xf numFmtId="176" fontId="21" fillId="31" borderId="3" xfId="0" applyNumberFormat="1" applyFont="1" applyFill="1" applyBorder="1"/>
    <xf numFmtId="0" fontId="52" fillId="13" borderId="34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13" borderId="34" xfId="0" applyNumberFormat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justify" vertical="justify"/>
    </xf>
    <xf numFmtId="4" fontId="43" fillId="12" borderId="0" xfId="0" applyNumberFormat="1" applyFont="1" applyFill="1"/>
    <xf numFmtId="49" fontId="8" fillId="13" borderId="35" xfId="0" applyNumberFormat="1" applyFont="1" applyFill="1" applyBorder="1" applyAlignment="1">
      <alignment horizontal="center" vertical="center"/>
    </xf>
    <xf numFmtId="0" fontId="8" fillId="14" borderId="65" xfId="0" applyFont="1" applyFill="1" applyBorder="1" applyAlignment="1">
      <alignment horizontal="center" vertical="center"/>
    </xf>
    <xf numFmtId="0" fontId="8" fillId="14" borderId="3" xfId="0" applyFont="1" applyFill="1" applyBorder="1" applyAlignment="1">
      <alignment horizontal="center" vertical="center"/>
    </xf>
    <xf numFmtId="170" fontId="0" fillId="25" borderId="3" xfId="0" applyNumberFormat="1" applyFill="1" applyBorder="1" applyAlignment="1">
      <alignment horizontal="center" vertical="center"/>
    </xf>
    <xf numFmtId="165" fontId="8" fillId="32" borderId="39" xfId="0" applyNumberFormat="1" applyFont="1" applyFill="1" applyBorder="1" applyAlignment="1">
      <alignment horizontal="center" vertical="center"/>
    </xf>
    <xf numFmtId="165" fontId="7" fillId="19" borderId="39" xfId="0" applyNumberFormat="1" applyFont="1" applyFill="1" applyBorder="1" applyAlignment="1">
      <alignment vertical="center"/>
    </xf>
    <xf numFmtId="165" fontId="8" fillId="17" borderId="0" xfId="0" applyNumberFormat="1" applyFont="1" applyFill="1" applyBorder="1" applyAlignment="1">
      <alignment horizontal="center" vertical="center"/>
    </xf>
    <xf numFmtId="165" fontId="7" fillId="14" borderId="0" xfId="0" applyNumberFormat="1" applyFont="1" applyFill="1" applyBorder="1" applyAlignment="1">
      <alignment horizontal="right" vertical="center"/>
    </xf>
    <xf numFmtId="165" fontId="8" fillId="30" borderId="0" xfId="0" applyNumberFormat="1" applyFont="1" applyFill="1" applyBorder="1" applyAlignment="1">
      <alignment horizontal="right" vertical="center"/>
    </xf>
    <xf numFmtId="165" fontId="9" fillId="33" borderId="87" xfId="0" applyNumberFormat="1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center"/>
    </xf>
    <xf numFmtId="179" fontId="8" fillId="2" borderId="42" xfId="0" applyNumberFormat="1" applyFont="1" applyFill="1" applyBorder="1" applyAlignment="1">
      <alignment horizontal="center" vertical="center"/>
    </xf>
    <xf numFmtId="165" fontId="9" fillId="33" borderId="25" xfId="0" applyNumberFormat="1" applyFont="1" applyFill="1" applyBorder="1" applyAlignment="1">
      <alignment horizontal="center" vertical="center"/>
    </xf>
    <xf numFmtId="165" fontId="9" fillId="33" borderId="26" xfId="0" applyNumberFormat="1" applyFont="1" applyFill="1" applyBorder="1" applyAlignment="1">
      <alignment horizontal="center" vertical="center"/>
    </xf>
    <xf numFmtId="0" fontId="0" fillId="16" borderId="0" xfId="0" applyFill="1" applyBorder="1" applyAlignment="1">
      <alignment vertical="center"/>
    </xf>
    <xf numFmtId="0" fontId="8" fillId="14" borderId="0" xfId="0" applyFont="1" applyFill="1" applyBorder="1" applyAlignment="1">
      <alignment horizontal="center" vertical="center" wrapText="1"/>
    </xf>
    <xf numFmtId="165" fontId="8" fillId="14" borderId="0" xfId="0" applyNumberFormat="1" applyFont="1" applyFill="1" applyBorder="1" applyAlignment="1">
      <alignment horizontal="center" vertical="center" wrapText="1"/>
    </xf>
    <xf numFmtId="0" fontId="8" fillId="14" borderId="0" xfId="0" applyFont="1" applyFill="1" applyBorder="1" applyAlignment="1">
      <alignment horizontal="center" vertical="center"/>
    </xf>
    <xf numFmtId="0" fontId="7" fillId="16" borderId="0" xfId="0" applyFont="1" applyFill="1" applyBorder="1" applyAlignment="1">
      <alignment horizontal="center" vertical="center"/>
    </xf>
    <xf numFmtId="165" fontId="7" fillId="16" borderId="0" xfId="0" applyNumberFormat="1" applyFont="1" applyFill="1" applyBorder="1" applyAlignment="1">
      <alignment horizontal="center" vertical="center"/>
    </xf>
    <xf numFmtId="0" fontId="8" fillId="16" borderId="0" xfId="0" applyFont="1" applyFill="1" applyBorder="1" applyAlignment="1">
      <alignment horizontal="center" vertical="center"/>
    </xf>
    <xf numFmtId="0" fontId="8" fillId="30" borderId="0" xfId="0" applyFont="1" applyFill="1" applyBorder="1" applyAlignment="1">
      <alignment horizontal="center" vertical="center"/>
    </xf>
    <xf numFmtId="165" fontId="8" fillId="30" borderId="0" xfId="0" applyNumberFormat="1" applyFont="1" applyFill="1" applyBorder="1" applyAlignment="1">
      <alignment horizontal="center" vertical="center"/>
    </xf>
    <xf numFmtId="170" fontId="28" fillId="29" borderId="84" xfId="0" applyNumberFormat="1" applyFont="1" applyFill="1" applyBorder="1" applyAlignment="1">
      <alignment horizontal="center" vertical="center" wrapText="1"/>
    </xf>
    <xf numFmtId="170" fontId="28" fillId="29" borderId="94" xfId="0" applyNumberFormat="1" applyFont="1" applyFill="1" applyBorder="1" applyAlignment="1">
      <alignment horizontal="center" vertical="center" wrapText="1"/>
    </xf>
    <xf numFmtId="165" fontId="54" fillId="33" borderId="56" xfId="0" applyNumberFormat="1" applyFont="1" applyFill="1" applyBorder="1" applyAlignment="1">
      <alignment horizontal="center" vertical="center"/>
    </xf>
    <xf numFmtId="0" fontId="47" fillId="34" borderId="54" xfId="0" applyFont="1" applyFill="1" applyBorder="1"/>
    <xf numFmtId="165" fontId="47" fillId="34" borderId="56" xfId="0" applyNumberFormat="1" applyFont="1" applyFill="1" applyBorder="1"/>
    <xf numFmtId="170" fontId="56" fillId="16" borderId="3" xfId="0" applyNumberFormat="1" applyFont="1" applyFill="1" applyBorder="1" applyAlignment="1">
      <alignment horizontal="center"/>
    </xf>
    <xf numFmtId="7" fontId="56" fillId="16" borderId="3" xfId="0" applyNumberFormat="1" applyFont="1" applyFill="1" applyBorder="1" applyAlignment="1">
      <alignment horizontal="center"/>
    </xf>
    <xf numFmtId="169" fontId="21" fillId="0" borderId="0" xfId="0" applyNumberFormat="1" applyFont="1"/>
    <xf numFmtId="0" fontId="0" fillId="0" borderId="0" xfId="0" applyBorder="1" applyAlignment="1"/>
    <xf numFmtId="165" fontId="57" fillId="12" borderId="16" xfId="0" applyNumberFormat="1" applyFont="1" applyFill="1" applyBorder="1" applyAlignment="1">
      <alignment horizontal="center" vertical="center" wrapText="1"/>
    </xf>
    <xf numFmtId="170" fontId="7" fillId="6" borderId="34" xfId="0" applyNumberFormat="1" applyFont="1" applyFill="1" applyBorder="1" applyAlignment="1">
      <alignment horizontal="right" vertical="center"/>
    </xf>
    <xf numFmtId="170" fontId="42" fillId="12" borderId="3" xfId="0" applyNumberFormat="1" applyFont="1" applyFill="1" applyBorder="1" applyAlignment="1">
      <alignment horizontal="center" vertical="center"/>
    </xf>
    <xf numFmtId="0" fontId="8" fillId="17" borderId="3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165" fontId="8" fillId="16" borderId="47" xfId="0" applyNumberFormat="1" applyFont="1" applyFill="1" applyBorder="1" applyAlignment="1">
      <alignment horizontal="center" vertical="center"/>
    </xf>
    <xf numFmtId="165" fontId="8" fillId="0" borderId="39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 wrapText="1"/>
    </xf>
    <xf numFmtId="0" fontId="8" fillId="17" borderId="0" xfId="0" applyFont="1" applyFill="1" applyBorder="1" applyAlignment="1">
      <alignment horizontal="center" vertical="center"/>
    </xf>
    <xf numFmtId="177" fontId="25" fillId="21" borderId="6" xfId="3" applyNumberFormat="1" applyFont="1" applyFill="1" applyBorder="1" applyAlignment="1">
      <alignment horizontal="center" vertical="center"/>
    </xf>
    <xf numFmtId="170" fontId="7" fillId="18" borderId="31" xfId="0" applyNumberFormat="1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6" borderId="69" xfId="0" applyFont="1" applyFill="1" applyBorder="1" applyAlignment="1">
      <alignment horizontal="center" vertical="center"/>
    </xf>
    <xf numFmtId="0" fontId="58" fillId="0" borderId="3" xfId="10" applyBorder="1" applyAlignment="1" applyProtection="1">
      <alignment horizontal="center"/>
    </xf>
    <xf numFmtId="0" fontId="58" fillId="0" borderId="42" xfId="10" applyBorder="1" applyAlignment="1" applyProtection="1">
      <alignment horizontal="center"/>
    </xf>
    <xf numFmtId="0" fontId="1" fillId="0" borderId="16" xfId="20" applyBorder="1" applyAlignment="1">
      <alignment horizontal="center" vertical="center"/>
    </xf>
    <xf numFmtId="0" fontId="1" fillId="0" borderId="3" xfId="20" applyBorder="1" applyAlignment="1">
      <alignment horizontal="center" vertical="center"/>
    </xf>
    <xf numFmtId="0" fontId="1" fillId="0" borderId="42" xfId="20" applyBorder="1" applyAlignment="1">
      <alignment horizontal="center" vertical="center"/>
    </xf>
    <xf numFmtId="0" fontId="66" fillId="0" borderId="25" xfId="15" applyFont="1" applyBorder="1" applyAlignment="1">
      <alignment horizontal="center" vertical="center" wrapText="1"/>
    </xf>
    <xf numFmtId="0" fontId="66" fillId="0" borderId="14" xfId="15" applyFont="1" applyBorder="1" applyAlignment="1">
      <alignment horizontal="center" vertical="center" wrapText="1"/>
    </xf>
    <xf numFmtId="0" fontId="66" fillId="0" borderId="9" xfId="15" applyFont="1" applyBorder="1" applyAlignment="1">
      <alignment horizontal="center" vertical="center" wrapText="1"/>
    </xf>
    <xf numFmtId="0" fontId="64" fillId="6" borderId="3" xfId="15" applyFont="1" applyFill="1" applyBorder="1" applyAlignment="1">
      <alignment horizontal="center" vertical="center"/>
    </xf>
    <xf numFmtId="0" fontId="64" fillId="6" borderId="8" xfId="15" applyFont="1" applyFill="1" applyBorder="1" applyAlignment="1">
      <alignment horizontal="center" vertical="center"/>
    </xf>
    <xf numFmtId="0" fontId="64" fillId="6" borderId="11" xfId="15" applyFont="1" applyFill="1" applyBorder="1" applyAlignment="1">
      <alignment horizontal="center" vertical="center"/>
    </xf>
    <xf numFmtId="0" fontId="64" fillId="6" borderId="41" xfId="15" applyFont="1" applyFill="1" applyBorder="1" applyAlignment="1">
      <alignment horizontal="center" vertical="center"/>
    </xf>
    <xf numFmtId="181" fontId="8" fillId="13" borderId="35" xfId="0" applyNumberFormat="1" applyFont="1" applyFill="1" applyBorder="1" applyAlignment="1">
      <alignment horizontal="center" vertical="center"/>
    </xf>
    <xf numFmtId="0" fontId="67" fillId="0" borderId="25" xfId="15" applyFont="1" applyBorder="1" applyAlignment="1">
      <alignment horizontal="center" vertical="center" wrapText="1"/>
    </xf>
    <xf numFmtId="181" fontId="7" fillId="7" borderId="34" xfId="0" applyNumberFormat="1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justify" vertical="center"/>
    </xf>
    <xf numFmtId="0" fontId="64" fillId="6" borderId="3" xfId="15" applyFont="1" applyFill="1" applyBorder="1" applyAlignment="1">
      <alignment horizontal="center" vertical="center"/>
    </xf>
    <xf numFmtId="0" fontId="64" fillId="6" borderId="8" xfId="15" applyFont="1" applyFill="1" applyBorder="1" applyAlignment="1">
      <alignment horizontal="center" vertical="center"/>
    </xf>
    <xf numFmtId="0" fontId="64" fillId="6" borderId="11" xfId="15" applyFont="1" applyFill="1" applyBorder="1" applyAlignment="1">
      <alignment horizontal="center" vertical="center"/>
    </xf>
    <xf numFmtId="0" fontId="64" fillId="6" borderId="41" xfId="15" applyFont="1" applyFill="1" applyBorder="1" applyAlignment="1">
      <alignment horizontal="center" vertical="center"/>
    </xf>
    <xf numFmtId="0" fontId="64" fillId="6" borderId="75" xfId="15" applyFont="1" applyFill="1" applyBorder="1" applyAlignment="1">
      <alignment horizontal="center" vertical="center"/>
    </xf>
    <xf numFmtId="0" fontId="64" fillId="6" borderId="3" xfId="15" applyFont="1" applyFill="1" applyBorder="1" applyAlignment="1">
      <alignment horizontal="center" vertical="center"/>
    </xf>
    <xf numFmtId="0" fontId="64" fillId="6" borderId="11" xfId="15" applyFont="1" applyFill="1" applyBorder="1" applyAlignment="1">
      <alignment horizontal="center" vertical="center"/>
    </xf>
    <xf numFmtId="0" fontId="64" fillId="6" borderId="41" xfId="15" applyFont="1" applyFill="1" applyBorder="1" applyAlignment="1">
      <alignment horizontal="center" vertical="center"/>
    </xf>
    <xf numFmtId="0" fontId="64" fillId="6" borderId="75" xfId="15" applyFont="1" applyFill="1" applyBorder="1" applyAlignment="1">
      <alignment horizontal="center" vertical="center"/>
    </xf>
    <xf numFmtId="165" fontId="21" fillId="8" borderId="38" xfId="0" applyNumberFormat="1" applyFont="1" applyFill="1" applyBorder="1" applyAlignment="1">
      <alignment horizontal="center" vertical="center" wrapText="1"/>
    </xf>
    <xf numFmtId="0" fontId="64" fillId="6" borderId="3" xfId="15" applyFont="1" applyFill="1" applyBorder="1" applyAlignment="1">
      <alignment horizontal="center" vertical="center"/>
    </xf>
    <xf numFmtId="0" fontId="64" fillId="6" borderId="8" xfId="15" applyFont="1" applyFill="1" applyBorder="1" applyAlignment="1">
      <alignment horizontal="center" vertical="center"/>
    </xf>
    <xf numFmtId="0" fontId="64" fillId="6" borderId="11" xfId="15" applyFont="1" applyFill="1" applyBorder="1" applyAlignment="1">
      <alignment horizontal="center" vertical="center"/>
    </xf>
    <xf numFmtId="0" fontId="64" fillId="6" borderId="41" xfId="15" applyFont="1" applyFill="1" applyBorder="1" applyAlignment="1">
      <alignment horizontal="center" vertical="center"/>
    </xf>
    <xf numFmtId="0" fontId="64" fillId="6" borderId="75" xfId="15" applyFont="1" applyFill="1" applyBorder="1" applyAlignment="1">
      <alignment horizontal="center" vertical="center"/>
    </xf>
    <xf numFmtId="176" fontId="21" fillId="0" borderId="0" xfId="0" applyNumberFormat="1" applyFont="1" applyBorder="1"/>
    <xf numFmtId="0" fontId="25" fillId="2" borderId="16" xfId="0" applyFont="1" applyFill="1" applyBorder="1" applyAlignment="1">
      <alignment horizontal="center" vertical="center" wrapText="1"/>
    </xf>
    <xf numFmtId="1" fontId="21" fillId="9" borderId="62" xfId="0" applyNumberFormat="1" applyFont="1" applyFill="1" applyBorder="1" applyAlignment="1">
      <alignment horizontal="center" vertical="center" wrapText="1"/>
    </xf>
    <xf numFmtId="1" fontId="21" fillId="9" borderId="18" xfId="0" applyNumberFormat="1" applyFont="1" applyFill="1" applyBorder="1" applyAlignment="1">
      <alignment horizontal="center" vertical="center" wrapText="1"/>
    </xf>
    <xf numFmtId="178" fontId="21" fillId="9" borderId="18" xfId="0" applyNumberFormat="1" applyFont="1" applyFill="1" applyBorder="1" applyAlignment="1">
      <alignment horizontal="center" vertical="center" wrapText="1"/>
    </xf>
    <xf numFmtId="1" fontId="21" fillId="9" borderId="20" xfId="0" applyNumberFormat="1" applyFont="1" applyFill="1" applyBorder="1" applyAlignment="1">
      <alignment horizontal="center" vertical="center" wrapText="1"/>
    </xf>
    <xf numFmtId="165" fontId="21" fillId="8" borderId="3" xfId="0" applyNumberFormat="1" applyFont="1" applyFill="1" applyBorder="1" applyAlignment="1">
      <alignment horizontal="center" vertical="center" wrapText="1"/>
    </xf>
    <xf numFmtId="1" fontId="58" fillId="9" borderId="36" xfId="15" applyNumberFormat="1" applyFont="1" applyFill="1" applyBorder="1" applyAlignment="1">
      <alignment horizontal="center" vertical="center" wrapText="1"/>
    </xf>
    <xf numFmtId="1" fontId="58" fillId="9" borderId="13" xfId="15" applyNumberFormat="1" applyFont="1" applyFill="1" applyBorder="1" applyAlignment="1">
      <alignment horizontal="center" vertical="center" wrapText="1"/>
    </xf>
    <xf numFmtId="178" fontId="58" fillId="9" borderId="11" xfId="15" applyNumberFormat="1" applyFont="1" applyFill="1" applyBorder="1" applyAlignment="1">
      <alignment horizontal="center" vertical="center" wrapText="1"/>
    </xf>
    <xf numFmtId="1" fontId="58" fillId="9" borderId="11" xfId="15" applyNumberFormat="1" applyFont="1" applyFill="1" applyBorder="1" applyAlignment="1">
      <alignment horizontal="center" vertical="center" wrapText="1"/>
    </xf>
    <xf numFmtId="1" fontId="58" fillId="9" borderId="3" xfId="15" applyNumberFormat="1" applyFont="1" applyFill="1" applyBorder="1" applyAlignment="1">
      <alignment horizontal="center" vertical="center" wrapText="1"/>
    </xf>
    <xf numFmtId="1" fontId="58" fillId="9" borderId="37" xfId="15" applyNumberFormat="1" applyFont="1" applyFill="1" applyBorder="1" applyAlignment="1">
      <alignment horizontal="center" vertical="center" wrapText="1"/>
    </xf>
    <xf numFmtId="0" fontId="58" fillId="36" borderId="3" xfId="10" applyFill="1" applyBorder="1" applyAlignment="1" applyProtection="1">
      <alignment horizontal="center"/>
    </xf>
    <xf numFmtId="1" fontId="58" fillId="35" borderId="3" xfId="15" applyNumberFormat="1" applyFont="1" applyFill="1" applyBorder="1" applyAlignment="1" applyProtection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165" fontId="21" fillId="8" borderId="18" xfId="0" applyNumberFormat="1" applyFont="1" applyFill="1" applyBorder="1" applyAlignment="1">
      <alignment horizontal="center" vertical="center" wrapText="1"/>
    </xf>
    <xf numFmtId="0" fontId="1" fillId="36" borderId="3" xfId="20" applyFill="1" applyBorder="1" applyAlignment="1">
      <alignment horizontal="center"/>
    </xf>
    <xf numFmtId="165" fontId="21" fillId="8" borderId="17" xfId="0" applyNumberFormat="1" applyFont="1" applyFill="1" applyBorder="1" applyAlignment="1">
      <alignment horizontal="center" vertical="center" wrapText="1"/>
    </xf>
    <xf numFmtId="1" fontId="21" fillId="35" borderId="3" xfId="21" applyNumberFormat="1" applyFont="1" applyFill="1" applyBorder="1" applyAlignment="1">
      <alignment horizontal="center" vertical="center" wrapText="1"/>
    </xf>
    <xf numFmtId="1" fontId="64" fillId="9" borderId="37" xfId="15" applyNumberFormat="1" applyFont="1" applyFill="1" applyBorder="1" applyAlignment="1">
      <alignment horizontal="center" vertical="center" wrapText="1"/>
    </xf>
    <xf numFmtId="1" fontId="64" fillId="9" borderId="3" xfId="15" applyNumberFormat="1" applyFont="1" applyFill="1" applyBorder="1" applyAlignment="1">
      <alignment horizontal="center" vertical="center" wrapText="1"/>
    </xf>
    <xf numFmtId="1" fontId="64" fillId="9" borderId="36" xfId="15" applyNumberFormat="1" applyFont="1" applyFill="1" applyBorder="1" applyAlignment="1">
      <alignment horizontal="center" vertical="center" wrapText="1"/>
    </xf>
    <xf numFmtId="1" fontId="64" fillId="9" borderId="11" xfId="15" applyNumberFormat="1" applyFont="1" applyFill="1" applyBorder="1" applyAlignment="1">
      <alignment horizontal="center" vertical="center" wrapText="1"/>
    </xf>
    <xf numFmtId="178" fontId="64" fillId="9" borderId="11" xfId="15" applyNumberFormat="1" applyFont="1" applyFill="1" applyBorder="1" applyAlignment="1">
      <alignment horizontal="center" vertical="center" wrapText="1"/>
    </xf>
    <xf numFmtId="1" fontId="64" fillId="9" borderId="13" xfId="15" applyNumberFormat="1" applyFont="1" applyFill="1" applyBorder="1" applyAlignment="1">
      <alignment horizontal="center" vertical="center" wrapText="1"/>
    </xf>
    <xf numFmtId="1" fontId="64" fillId="9" borderId="37" xfId="15" applyNumberFormat="1" applyFont="1" applyFill="1" applyBorder="1" applyAlignment="1">
      <alignment horizontal="center" vertical="center" wrapText="1"/>
    </xf>
    <xf numFmtId="1" fontId="64" fillId="9" borderId="3" xfId="15" applyNumberFormat="1" applyFont="1" applyFill="1" applyBorder="1" applyAlignment="1">
      <alignment horizontal="center" vertical="center" wrapText="1"/>
    </xf>
    <xf numFmtId="1" fontId="64" fillId="9" borderId="36" xfId="15" applyNumberFormat="1" applyFont="1" applyFill="1" applyBorder="1" applyAlignment="1">
      <alignment horizontal="center" vertical="center" wrapText="1"/>
    </xf>
    <xf numFmtId="1" fontId="64" fillId="9" borderId="11" xfId="15" applyNumberFormat="1" applyFont="1" applyFill="1" applyBorder="1" applyAlignment="1">
      <alignment horizontal="center" vertical="center" wrapText="1"/>
    </xf>
    <xf numFmtId="0" fontId="64" fillId="10" borderId="3" xfId="15" applyFont="1" applyFill="1" applyBorder="1"/>
    <xf numFmtId="1" fontId="64" fillId="9" borderId="13" xfId="15" applyNumberFormat="1" applyFont="1" applyFill="1" applyBorder="1" applyAlignment="1">
      <alignment horizontal="center" vertical="center" wrapText="1"/>
    </xf>
    <xf numFmtId="165" fontId="21" fillId="8" borderId="16" xfId="0" applyNumberFormat="1" applyFont="1" applyFill="1" applyBorder="1" applyAlignment="1">
      <alignment horizontal="center" vertical="center" wrapText="1"/>
    </xf>
    <xf numFmtId="165" fontId="21" fillId="8" borderId="32" xfId="0" applyNumberFormat="1" applyFont="1" applyFill="1" applyBorder="1" applyAlignment="1">
      <alignment horizontal="center" vertical="center" wrapText="1"/>
    </xf>
    <xf numFmtId="165" fontId="25" fillId="30" borderId="67" xfId="0" applyNumberFormat="1" applyFont="1" applyFill="1" applyBorder="1" applyAlignment="1">
      <alignment horizontal="center" vertical="center" wrapText="1"/>
    </xf>
    <xf numFmtId="1" fontId="65" fillId="35" borderId="3" xfId="15" applyNumberFormat="1" applyFont="1" applyFill="1" applyBorder="1" applyAlignment="1">
      <alignment horizontal="center" vertical="center" wrapText="1"/>
    </xf>
    <xf numFmtId="0" fontId="69" fillId="36" borderId="3" xfId="15" applyFont="1" applyFill="1" applyBorder="1" applyAlignment="1">
      <alignment horizontal="center" vertical="center" wrapText="1"/>
    </xf>
    <xf numFmtId="0" fontId="70" fillId="36" borderId="3" xfId="15" applyFont="1" applyFill="1" applyBorder="1" applyAlignment="1">
      <alignment horizontal="center" vertical="center" wrapText="1"/>
    </xf>
    <xf numFmtId="7" fontId="21" fillId="0" borderId="0" xfId="0" applyNumberFormat="1" applyFont="1"/>
    <xf numFmtId="176" fontId="21" fillId="16" borderId="0" xfId="0" applyNumberFormat="1" applyFont="1" applyFill="1" applyBorder="1"/>
    <xf numFmtId="165" fontId="25" fillId="16" borderId="0" xfId="0" applyNumberFormat="1" applyFont="1" applyFill="1" applyBorder="1"/>
    <xf numFmtId="1" fontId="64" fillId="9" borderId="37" xfId="15" applyNumberFormat="1" applyFont="1" applyFill="1" applyBorder="1" applyAlignment="1">
      <alignment horizontal="center" vertical="center" wrapText="1"/>
    </xf>
    <xf numFmtId="1" fontId="64" fillId="9" borderId="3" xfId="15" applyNumberFormat="1" applyFont="1" applyFill="1" applyBorder="1" applyAlignment="1">
      <alignment horizontal="center" vertical="center" wrapText="1"/>
    </xf>
    <xf numFmtId="1" fontId="64" fillId="9" borderId="36" xfId="15" applyNumberFormat="1" applyFont="1" applyFill="1" applyBorder="1" applyAlignment="1">
      <alignment horizontal="center" vertical="center" wrapText="1"/>
    </xf>
    <xf numFmtId="1" fontId="64" fillId="9" borderId="11" xfId="15" applyNumberFormat="1" applyFont="1" applyFill="1" applyBorder="1" applyAlignment="1">
      <alignment horizontal="center" vertical="center" wrapText="1"/>
    </xf>
    <xf numFmtId="0" fontId="64" fillId="10" borderId="3" xfId="15" applyFont="1" applyFill="1" applyBorder="1"/>
    <xf numFmtId="1" fontId="64" fillId="9" borderId="13" xfId="15" applyNumberFormat="1" applyFont="1" applyFill="1" applyBorder="1" applyAlignment="1">
      <alignment horizontal="center" vertical="center" wrapText="1"/>
    </xf>
    <xf numFmtId="0" fontId="0" fillId="0" borderId="84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1" fontId="71" fillId="37" borderId="105" xfId="21" applyNumberFormat="1" applyFont="1" applyFill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/>
    </xf>
    <xf numFmtId="165" fontId="21" fillId="0" borderId="0" xfId="0" applyNumberFormat="1" applyFont="1"/>
    <xf numFmtId="4" fontId="21" fillId="0" borderId="0" xfId="0" applyNumberFormat="1" applyFont="1"/>
    <xf numFmtId="0" fontId="64" fillId="18" borderId="11" xfId="15" applyFont="1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0" fillId="0" borderId="3" xfId="0" applyBorder="1" applyAlignment="1">
      <alignment horizontal="justify" vertical="center"/>
    </xf>
    <xf numFmtId="0" fontId="0" fillId="16" borderId="3" xfId="0" applyFill="1" applyBorder="1" applyAlignment="1">
      <alignment horizontal="justify" vertical="center"/>
    </xf>
    <xf numFmtId="165" fontId="8" fillId="16" borderId="16" xfId="0" applyNumberFormat="1" applyFont="1" applyFill="1" applyBorder="1" applyAlignment="1">
      <alignment horizontal="center" vertical="center"/>
    </xf>
    <xf numFmtId="0" fontId="78" fillId="39" borderId="4" xfId="0" applyFont="1" applyFill="1" applyBorder="1" applyAlignment="1">
      <alignment horizontal="justify" vertical="justify"/>
    </xf>
    <xf numFmtId="169" fontId="79" fillId="0" borderId="0" xfId="0" applyNumberFormat="1" applyFont="1"/>
    <xf numFmtId="0" fontId="6" fillId="2" borderId="1" xfId="0" applyFont="1" applyFill="1" applyBorder="1" applyAlignment="1">
      <alignment horizontal="center" vertical="center" wrapText="1"/>
    </xf>
    <xf numFmtId="0" fontId="76" fillId="38" borderId="5" xfId="0" applyFont="1" applyFill="1" applyBorder="1" applyAlignment="1">
      <alignment horizontal="justify" vertical="justify"/>
    </xf>
    <xf numFmtId="0" fontId="76" fillId="38" borderId="7" xfId="0" applyFont="1" applyFill="1" applyBorder="1" applyAlignment="1">
      <alignment horizontal="justify" vertical="justify"/>
    </xf>
    <xf numFmtId="0" fontId="76" fillId="38" borderId="61" xfId="0" applyFont="1" applyFill="1" applyBorder="1" applyAlignment="1">
      <alignment horizontal="justify" vertical="justify"/>
    </xf>
    <xf numFmtId="0" fontId="76" fillId="38" borderId="76" xfId="0" applyFont="1" applyFill="1" applyBorder="1" applyAlignment="1">
      <alignment horizontal="justify" vertical="justify"/>
    </xf>
    <xf numFmtId="0" fontId="76" fillId="38" borderId="70" xfId="0" applyFont="1" applyFill="1" applyBorder="1" applyAlignment="1">
      <alignment horizontal="justify" vertical="justify"/>
    </xf>
    <xf numFmtId="0" fontId="76" fillId="38" borderId="73" xfId="0" applyFont="1" applyFill="1" applyBorder="1" applyAlignment="1">
      <alignment horizontal="justify" vertical="justify"/>
    </xf>
    <xf numFmtId="177" fontId="25" fillId="21" borderId="5" xfId="3" applyNumberFormat="1" applyFont="1" applyFill="1" applyBorder="1" applyAlignment="1">
      <alignment horizontal="center" vertical="center"/>
    </xf>
    <xf numFmtId="177" fontId="25" fillId="21" borderId="7" xfId="3" applyNumberFormat="1" applyFont="1" applyFill="1" applyBorder="1" applyAlignment="1">
      <alignment horizontal="center" vertical="center"/>
    </xf>
    <xf numFmtId="164" fontId="25" fillId="21" borderId="54" xfId="3" applyFont="1" applyFill="1" applyBorder="1" applyAlignment="1">
      <alignment horizontal="center" vertical="center"/>
    </xf>
    <xf numFmtId="164" fontId="25" fillId="21" borderId="56" xfId="3" applyFont="1" applyFill="1" applyBorder="1" applyAlignment="1">
      <alignment horizontal="center" vertical="center"/>
    </xf>
    <xf numFmtId="0" fontId="8" fillId="20" borderId="57" xfId="0" applyFont="1" applyFill="1" applyBorder="1" applyAlignment="1">
      <alignment horizontal="center" vertical="center"/>
    </xf>
    <xf numFmtId="0" fontId="8" fillId="20" borderId="68" xfId="0" applyFont="1" applyFill="1" applyBorder="1" applyAlignment="1">
      <alignment horizontal="center" vertical="center"/>
    </xf>
    <xf numFmtId="0" fontId="8" fillId="20" borderId="45" xfId="0" applyFont="1" applyFill="1" applyBorder="1" applyAlignment="1">
      <alignment horizontal="center" vertical="center"/>
    </xf>
    <xf numFmtId="0" fontId="8" fillId="20" borderId="66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8" fillId="20" borderId="71" xfId="0" applyFont="1" applyFill="1" applyBorder="1" applyAlignment="1">
      <alignment horizontal="center" vertical="center"/>
    </xf>
    <xf numFmtId="0" fontId="8" fillId="20" borderId="74" xfId="0" applyFont="1" applyFill="1" applyBorder="1" applyAlignment="1">
      <alignment horizontal="center" vertical="center"/>
    </xf>
    <xf numFmtId="0" fontId="8" fillId="20" borderId="23" xfId="0" applyFont="1" applyFill="1" applyBorder="1" applyAlignment="1">
      <alignment horizontal="center" vertical="center"/>
    </xf>
    <xf numFmtId="0" fontId="8" fillId="20" borderId="61" xfId="0" applyFont="1" applyFill="1" applyBorder="1" applyAlignment="1">
      <alignment horizontal="center" vertical="center"/>
    </xf>
    <xf numFmtId="0" fontId="8" fillId="20" borderId="70" xfId="0" applyFont="1" applyFill="1" applyBorder="1" applyAlignment="1">
      <alignment horizontal="center" vertical="center"/>
    </xf>
    <xf numFmtId="0" fontId="8" fillId="20" borderId="87" xfId="0" applyFont="1" applyFill="1" applyBorder="1" applyAlignment="1">
      <alignment horizontal="center" vertical="center"/>
    </xf>
    <xf numFmtId="0" fontId="8" fillId="20" borderId="67" xfId="0" applyFont="1" applyFill="1" applyBorder="1" applyAlignment="1">
      <alignment horizontal="center" vertical="center"/>
    </xf>
    <xf numFmtId="0" fontId="8" fillId="17" borderId="3" xfId="0" applyFont="1" applyFill="1" applyBorder="1" applyAlignment="1">
      <alignment horizontal="center" vertical="center"/>
    </xf>
    <xf numFmtId="171" fontId="7" fillId="17" borderId="3" xfId="0" applyNumberFormat="1" applyFont="1" applyFill="1" applyBorder="1" applyAlignment="1">
      <alignment horizontal="center" vertical="center"/>
    </xf>
    <xf numFmtId="0" fontId="7" fillId="17" borderId="3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justify" vertical="center"/>
    </xf>
    <xf numFmtId="0" fontId="0" fillId="6" borderId="2" xfId="0" applyFill="1" applyBorder="1"/>
    <xf numFmtId="0" fontId="7" fillId="6" borderId="30" xfId="0" applyFont="1" applyFill="1" applyBorder="1" applyAlignment="1">
      <alignment horizontal="left" vertical="center"/>
    </xf>
    <xf numFmtId="0" fontId="7" fillId="6" borderId="52" xfId="0" applyFont="1" applyFill="1" applyBorder="1" applyAlignment="1">
      <alignment horizontal="left" vertical="center"/>
    </xf>
    <xf numFmtId="0" fontId="7" fillId="6" borderId="20" xfId="0" applyFont="1" applyFill="1" applyBorder="1" applyAlignment="1">
      <alignment horizontal="left" vertical="center"/>
    </xf>
    <xf numFmtId="0" fontId="8" fillId="20" borderId="5" xfId="0" applyFont="1" applyFill="1" applyBorder="1" applyAlignment="1">
      <alignment horizontal="center" vertical="center"/>
    </xf>
    <xf numFmtId="0" fontId="8" fillId="20" borderId="6" xfId="0" applyFont="1" applyFill="1" applyBorder="1" applyAlignment="1">
      <alignment horizontal="center" vertical="center"/>
    </xf>
    <xf numFmtId="0" fontId="8" fillId="20" borderId="60" xfId="0" applyFont="1" applyFill="1" applyBorder="1" applyAlignment="1">
      <alignment horizontal="center" vertical="center"/>
    </xf>
    <xf numFmtId="0" fontId="8" fillId="20" borderId="75" xfId="0" applyFont="1" applyFill="1" applyBorder="1" applyAlignment="1">
      <alignment horizontal="center" vertical="center"/>
    </xf>
    <xf numFmtId="0" fontId="8" fillId="20" borderId="2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left" vertical="center"/>
    </xf>
    <xf numFmtId="0" fontId="7" fillId="6" borderId="17" xfId="0" applyFont="1" applyFill="1" applyBorder="1" applyAlignment="1">
      <alignment horizontal="left" vertical="center"/>
    </xf>
    <xf numFmtId="0" fontId="7" fillId="6" borderId="18" xfId="0" applyFont="1" applyFill="1" applyBorder="1" applyAlignment="1">
      <alignment horizontal="left" vertical="center"/>
    </xf>
    <xf numFmtId="0" fontId="7" fillId="15" borderId="16" xfId="0" applyFont="1" applyFill="1" applyBorder="1" applyAlignment="1">
      <alignment horizontal="center" vertical="center"/>
    </xf>
    <xf numFmtId="0" fontId="7" fillId="15" borderId="17" xfId="0" applyFont="1" applyFill="1" applyBorder="1" applyAlignment="1">
      <alignment horizontal="center" vertical="center"/>
    </xf>
    <xf numFmtId="0" fontId="7" fillId="15" borderId="18" xfId="0" applyFont="1" applyFill="1" applyBorder="1" applyAlignment="1">
      <alignment horizontal="center" vertical="center"/>
    </xf>
    <xf numFmtId="9" fontId="7" fillId="15" borderId="16" xfId="8" applyNumberFormat="1" applyFont="1" applyFill="1" applyBorder="1" applyAlignment="1">
      <alignment horizontal="center" vertical="center"/>
    </xf>
    <xf numFmtId="9" fontId="7" fillId="15" borderId="17" xfId="8" applyNumberFormat="1" applyFont="1" applyFill="1" applyBorder="1" applyAlignment="1">
      <alignment horizontal="center" vertical="center"/>
    </xf>
    <xf numFmtId="9" fontId="7" fillId="15" borderId="18" xfId="8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left" vertical="center"/>
    </xf>
    <xf numFmtId="0" fontId="8" fillId="3" borderId="70" xfId="0" applyFont="1" applyFill="1" applyBorder="1" applyAlignment="1">
      <alignment horizontal="center" vertical="center"/>
    </xf>
    <xf numFmtId="0" fontId="8" fillId="3" borderId="75" xfId="0" applyFont="1" applyFill="1" applyBorder="1" applyAlignment="1">
      <alignment horizontal="center" vertical="center"/>
    </xf>
    <xf numFmtId="10" fontId="26" fillId="0" borderId="3" xfId="0" applyNumberFormat="1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vertical="center"/>
    </xf>
    <xf numFmtId="0" fontId="7" fillId="6" borderId="38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42" xfId="0" applyFont="1" applyFill="1" applyBorder="1" applyAlignment="1">
      <alignment vertical="center"/>
    </xf>
    <xf numFmtId="0" fontId="7" fillId="6" borderId="16" xfId="0" applyFont="1" applyFill="1" applyBorder="1" applyAlignment="1">
      <alignment vertical="center"/>
    </xf>
    <xf numFmtId="0" fontId="8" fillId="16" borderId="5" xfId="0" applyFont="1" applyFill="1" applyBorder="1" applyAlignment="1">
      <alignment horizontal="center" vertical="center"/>
    </xf>
    <xf numFmtId="0" fontId="8" fillId="16" borderId="6" xfId="0" applyFont="1" applyFill="1" applyBorder="1" applyAlignment="1">
      <alignment horizontal="center" vertical="center"/>
    </xf>
    <xf numFmtId="0" fontId="74" fillId="38" borderId="5" xfId="0" applyFont="1" applyFill="1" applyBorder="1" applyAlignment="1">
      <alignment horizontal="justify" vertical="justify"/>
    </xf>
    <xf numFmtId="0" fontId="74" fillId="38" borderId="7" xfId="0" applyFont="1" applyFill="1" applyBorder="1" applyAlignment="1">
      <alignment horizontal="justify" vertical="justify"/>
    </xf>
    <xf numFmtId="0" fontId="74" fillId="38" borderId="61" xfId="0" applyFont="1" applyFill="1" applyBorder="1" applyAlignment="1">
      <alignment horizontal="justify" vertical="justify"/>
    </xf>
    <xf numFmtId="0" fontId="74" fillId="38" borderId="76" xfId="0" applyFont="1" applyFill="1" applyBorder="1" applyAlignment="1">
      <alignment horizontal="justify" vertical="justify"/>
    </xf>
    <xf numFmtId="0" fontId="75" fillId="0" borderId="61" xfId="0" applyFont="1" applyBorder="1" applyAlignment="1">
      <alignment horizontal="justify" vertical="justify"/>
    </xf>
    <xf numFmtId="0" fontId="75" fillId="0" borderId="76" xfId="0" applyFont="1" applyBorder="1" applyAlignment="1">
      <alignment horizontal="justify" vertical="justify"/>
    </xf>
    <xf numFmtId="0" fontId="75" fillId="0" borderId="70" xfId="0" applyFont="1" applyBorder="1" applyAlignment="1">
      <alignment horizontal="justify" vertical="justify"/>
    </xf>
    <xf numFmtId="0" fontId="75" fillId="0" borderId="73" xfId="0" applyFont="1" applyBorder="1" applyAlignment="1">
      <alignment horizontal="justify" vertical="justify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9" borderId="14" xfId="0" applyFont="1" applyFill="1" applyBorder="1" applyAlignment="1">
      <alignment horizontal="center" vertical="center"/>
    </xf>
    <xf numFmtId="0" fontId="8" fillId="5" borderId="54" xfId="0" applyFont="1" applyFill="1" applyBorder="1" applyAlignment="1">
      <alignment horizontal="left" vertical="center"/>
    </xf>
    <xf numFmtId="0" fontId="8" fillId="5" borderId="55" xfId="0" applyFont="1" applyFill="1" applyBorder="1" applyAlignment="1">
      <alignment horizontal="left" vertical="center"/>
    </xf>
    <xf numFmtId="0" fontId="8" fillId="5" borderId="56" xfId="0" applyFont="1" applyFill="1" applyBorder="1" applyAlignment="1">
      <alignment horizontal="left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0" fontId="7" fillId="15" borderId="16" xfId="8" applyNumberFormat="1" applyFont="1" applyFill="1" applyBorder="1" applyAlignment="1">
      <alignment horizontal="center" vertical="center"/>
    </xf>
    <xf numFmtId="10" fontId="7" fillId="15" borderId="17" xfId="8" applyNumberFormat="1" applyFont="1" applyFill="1" applyBorder="1" applyAlignment="1">
      <alignment horizontal="center" vertical="center"/>
    </xf>
    <xf numFmtId="10" fontId="7" fillId="15" borderId="18" xfId="8" applyNumberFormat="1" applyFont="1" applyFill="1" applyBorder="1" applyAlignment="1">
      <alignment horizontal="center" vertical="center"/>
    </xf>
    <xf numFmtId="0" fontId="18" fillId="6" borderId="16" xfId="0" applyFont="1" applyFill="1" applyBorder="1" applyAlignment="1">
      <alignment horizontal="left" vertical="center"/>
    </xf>
    <xf numFmtId="0" fontId="18" fillId="6" borderId="17" xfId="0" applyFont="1" applyFill="1" applyBorder="1" applyAlignment="1">
      <alignment horizontal="left" vertical="center"/>
    </xf>
    <xf numFmtId="0" fontId="18" fillId="6" borderId="18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8" fillId="6" borderId="16" xfId="0" applyFont="1" applyFill="1" applyBorder="1" applyAlignment="1">
      <alignment horizontal="left" vertical="center"/>
    </xf>
    <xf numFmtId="49" fontId="8" fillId="12" borderId="16" xfId="0" applyNumberFormat="1" applyFont="1" applyFill="1" applyBorder="1" applyAlignment="1">
      <alignment horizontal="center" vertical="center"/>
    </xf>
    <xf numFmtId="49" fontId="8" fillId="12" borderId="17" xfId="0" applyNumberFormat="1" applyFont="1" applyFill="1" applyBorder="1" applyAlignment="1">
      <alignment horizontal="center" vertical="center"/>
    </xf>
    <xf numFmtId="49" fontId="8" fillId="12" borderId="51" xfId="0" applyNumberFormat="1" applyFont="1" applyFill="1" applyBorder="1" applyAlignment="1">
      <alignment horizontal="center" vertical="center"/>
    </xf>
    <xf numFmtId="0" fontId="8" fillId="3" borderId="73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justify" vertical="center" wrapText="1"/>
    </xf>
    <xf numFmtId="0" fontId="7" fillId="6" borderId="17" xfId="0" applyFont="1" applyFill="1" applyBorder="1" applyAlignment="1">
      <alignment horizontal="justify" vertical="center" wrapText="1"/>
    </xf>
    <xf numFmtId="0" fontId="7" fillId="6" borderId="18" xfId="0" applyFont="1" applyFill="1" applyBorder="1" applyAlignment="1">
      <alignment horizontal="justify" vertical="center" wrapText="1"/>
    </xf>
    <xf numFmtId="0" fontId="8" fillId="6" borderId="3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7" fillId="6" borderId="49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20" borderId="72" xfId="0" applyFont="1" applyFill="1" applyBorder="1" applyAlignment="1">
      <alignment horizontal="center" vertical="center"/>
    </xf>
    <xf numFmtId="0" fontId="8" fillId="20" borderId="22" xfId="0" applyFont="1" applyFill="1" applyBorder="1" applyAlignment="1">
      <alignment horizontal="center" vertical="center"/>
    </xf>
    <xf numFmtId="0" fontId="8" fillId="20" borderId="72" xfId="0" applyFont="1" applyFill="1" applyBorder="1" applyAlignment="1">
      <alignment horizontal="center" vertical="center" wrapText="1"/>
    </xf>
    <xf numFmtId="172" fontId="7" fillId="15" borderId="32" xfId="8" applyNumberFormat="1" applyFont="1" applyFill="1" applyBorder="1" applyAlignment="1">
      <alignment horizontal="center" vertical="center"/>
    </xf>
    <xf numFmtId="172" fontId="7" fillId="15" borderId="52" xfId="8" applyNumberFormat="1" applyFont="1" applyFill="1" applyBorder="1" applyAlignment="1">
      <alignment horizontal="center" vertical="center"/>
    </xf>
    <xf numFmtId="172" fontId="7" fillId="15" borderId="20" xfId="8" applyNumberFormat="1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7" fillId="6" borderId="82" xfId="0" applyFont="1" applyFill="1" applyBorder="1" applyAlignment="1">
      <alignment horizontal="justify" vertical="center" wrapText="1"/>
    </xf>
    <xf numFmtId="0" fontId="7" fillId="6" borderId="27" xfId="0" applyFont="1" applyFill="1" applyBorder="1" applyAlignment="1">
      <alignment horizontal="justify" vertical="center" wrapText="1"/>
    </xf>
    <xf numFmtId="0" fontId="7" fillId="6" borderId="69" xfId="0" applyFont="1" applyFill="1" applyBorder="1" applyAlignment="1">
      <alignment horizontal="justify" vertical="center" wrapText="1"/>
    </xf>
    <xf numFmtId="170" fontId="8" fillId="15" borderId="16" xfId="0" applyNumberFormat="1" applyFont="1" applyFill="1" applyBorder="1" applyAlignment="1">
      <alignment horizontal="center" vertical="center"/>
    </xf>
    <xf numFmtId="170" fontId="0" fillId="0" borderId="51" xfId="0" applyNumberFormat="1" applyBorder="1" applyAlignment="1">
      <alignment horizontal="center" vertical="center"/>
    </xf>
    <xf numFmtId="0" fontId="72" fillId="3" borderId="55" xfId="0" applyFont="1" applyFill="1" applyBorder="1" applyAlignment="1">
      <alignment horizontal="center" vertical="center"/>
    </xf>
    <xf numFmtId="0" fontId="72" fillId="3" borderId="56" xfId="0" applyFont="1" applyFill="1" applyBorder="1" applyAlignment="1">
      <alignment horizontal="center" vertical="center"/>
    </xf>
    <xf numFmtId="0" fontId="8" fillId="17" borderId="82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8" fillId="20" borderId="59" xfId="0" applyFont="1" applyFill="1" applyBorder="1" applyAlignment="1">
      <alignment horizontal="center" vertical="center"/>
    </xf>
    <xf numFmtId="0" fontId="7" fillId="15" borderId="32" xfId="0" applyFont="1" applyFill="1" applyBorder="1" applyAlignment="1">
      <alignment horizontal="center" vertical="center"/>
    </xf>
    <xf numFmtId="0" fontId="7" fillId="15" borderId="5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70" xfId="0" applyFont="1" applyFill="1" applyBorder="1" applyAlignment="1">
      <alignment horizontal="center" vertical="center" wrapText="1"/>
    </xf>
    <xf numFmtId="0" fontId="8" fillId="3" borderId="75" xfId="0" applyFont="1" applyFill="1" applyBorder="1" applyAlignment="1">
      <alignment horizontal="center" vertical="center" wrapText="1"/>
    </xf>
    <xf numFmtId="0" fontId="8" fillId="3" borderId="73" xfId="0" applyFont="1" applyFill="1" applyBorder="1" applyAlignment="1">
      <alignment horizontal="center" vertical="center" wrapText="1"/>
    </xf>
    <xf numFmtId="0" fontId="7" fillId="6" borderId="64" xfId="0" applyFont="1" applyFill="1" applyBorder="1" applyAlignment="1">
      <alignment horizontal="justify" vertical="center" wrapText="1"/>
    </xf>
    <xf numFmtId="0" fontId="7" fillId="6" borderId="49" xfId="0" applyFont="1" applyFill="1" applyBorder="1" applyAlignment="1">
      <alignment horizontal="justify" vertical="center" wrapText="1"/>
    </xf>
    <xf numFmtId="0" fontId="7" fillId="6" borderId="19" xfId="0" applyFont="1" applyFill="1" applyBorder="1" applyAlignment="1">
      <alignment horizontal="justify" vertical="center" wrapText="1"/>
    </xf>
    <xf numFmtId="0" fontId="7" fillId="6" borderId="32" xfId="0" applyFont="1" applyFill="1" applyBorder="1" applyAlignment="1">
      <alignment horizontal="left" vertical="center"/>
    </xf>
    <xf numFmtId="0" fontId="8" fillId="20" borderId="58" xfId="0" applyFont="1" applyFill="1" applyBorder="1" applyAlignment="1">
      <alignment horizontal="center" vertical="center"/>
    </xf>
    <xf numFmtId="0" fontId="8" fillId="20" borderId="5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justify" vertical="center"/>
    </xf>
    <xf numFmtId="0" fontId="7" fillId="6" borderId="17" xfId="0" applyFont="1" applyFill="1" applyBorder="1" applyAlignment="1">
      <alignment horizontal="justify" vertical="center"/>
    </xf>
    <xf numFmtId="0" fontId="7" fillId="6" borderId="18" xfId="0" applyFont="1" applyFill="1" applyBorder="1" applyAlignment="1">
      <alignment horizontal="justify" vertical="center"/>
    </xf>
    <xf numFmtId="0" fontId="7" fillId="6" borderId="29" xfId="0" applyFont="1" applyFill="1" applyBorder="1" applyAlignment="1">
      <alignment horizontal="left" vertical="center"/>
    </xf>
    <xf numFmtId="0" fontId="8" fillId="3" borderId="2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14" borderId="16" xfId="0" applyFont="1" applyFill="1" applyBorder="1" applyAlignment="1">
      <alignment horizontal="center" vertical="center"/>
    </xf>
    <xf numFmtId="0" fontId="8" fillId="14" borderId="17" xfId="0" applyFont="1" applyFill="1" applyBorder="1" applyAlignment="1">
      <alignment horizontal="center" vertical="center"/>
    </xf>
    <xf numFmtId="0" fontId="7" fillId="14" borderId="61" xfId="0" applyFont="1" applyFill="1" applyBorder="1" applyAlignment="1">
      <alignment horizontal="center" vertical="center"/>
    </xf>
    <xf numFmtId="0" fontId="7" fillId="14" borderId="0" xfId="0" applyFont="1" applyFill="1" applyBorder="1" applyAlignment="1">
      <alignment horizontal="center" vertical="center"/>
    </xf>
    <xf numFmtId="170" fontId="8" fillId="11" borderId="3" xfId="0" applyNumberFormat="1" applyFont="1" applyFill="1" applyBorder="1" applyAlignment="1">
      <alignment horizontal="center" vertical="center"/>
    </xf>
    <xf numFmtId="170" fontId="0" fillId="12" borderId="3" xfId="0" applyNumberFormat="1" applyFill="1" applyBorder="1" applyAlignment="1">
      <alignment horizontal="center" vertical="center"/>
    </xf>
    <xf numFmtId="0" fontId="16" fillId="6" borderId="44" xfId="0" applyFont="1" applyFill="1" applyBorder="1" applyAlignment="1">
      <alignment horizontal="center"/>
    </xf>
    <xf numFmtId="0" fontId="16" fillId="6" borderId="55" xfId="0" applyFont="1" applyFill="1" applyBorder="1" applyAlignment="1">
      <alignment horizontal="center"/>
    </xf>
    <xf numFmtId="0" fontId="16" fillId="6" borderId="5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justify" vertical="center"/>
    </xf>
    <xf numFmtId="0" fontId="8" fillId="6" borderId="31" xfId="0" applyFont="1" applyFill="1" applyBorder="1" applyAlignment="1">
      <alignment horizontal="justify" vertical="center"/>
    </xf>
    <xf numFmtId="165" fontId="8" fillId="16" borderId="47" xfId="0" applyNumberFormat="1" applyFont="1" applyFill="1" applyBorder="1" applyAlignment="1">
      <alignment horizontal="center" vertical="center"/>
    </xf>
    <xf numFmtId="165" fontId="8" fillId="16" borderId="39" xfId="0" applyNumberFormat="1" applyFont="1" applyFill="1" applyBorder="1" applyAlignment="1">
      <alignment horizontal="center" vertical="center"/>
    </xf>
    <xf numFmtId="165" fontId="8" fillId="0" borderId="47" xfId="0" applyNumberFormat="1" applyFont="1" applyFill="1" applyBorder="1" applyAlignment="1">
      <alignment horizontal="center" vertical="center"/>
    </xf>
    <xf numFmtId="165" fontId="8" fillId="0" borderId="39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8" fillId="6" borderId="49" xfId="0" applyFont="1" applyFill="1" applyBorder="1" applyAlignment="1">
      <alignment horizontal="center" vertical="center"/>
    </xf>
    <xf numFmtId="0" fontId="7" fillId="6" borderId="64" xfId="0" applyFont="1" applyFill="1" applyBorder="1" applyAlignment="1">
      <alignment horizontal="left" vertical="center"/>
    </xf>
    <xf numFmtId="0" fontId="7" fillId="6" borderId="49" xfId="0" applyFont="1" applyFill="1" applyBorder="1" applyAlignment="1">
      <alignment horizontal="left" vertical="center"/>
    </xf>
    <xf numFmtId="0" fontId="7" fillId="6" borderId="19" xfId="0" applyFont="1" applyFill="1" applyBorder="1" applyAlignment="1">
      <alignment horizontal="left" vertical="center"/>
    </xf>
    <xf numFmtId="0" fontId="8" fillId="6" borderId="9" xfId="0" applyFont="1" applyFill="1" applyBorder="1" applyAlignment="1">
      <alignment horizontal="left" vertical="center"/>
    </xf>
    <xf numFmtId="0" fontId="8" fillId="6" borderId="31" xfId="0" applyFont="1" applyFill="1" applyBorder="1" applyAlignment="1">
      <alignment horizontal="left" vertical="center"/>
    </xf>
    <xf numFmtId="0" fontId="45" fillId="17" borderId="30" xfId="0" applyFont="1" applyFill="1" applyBorder="1" applyAlignment="1">
      <alignment horizontal="justify" vertical="center"/>
    </xf>
    <xf numFmtId="0" fontId="45" fillId="17" borderId="20" xfId="0" applyFont="1" applyFill="1" applyBorder="1" applyAlignment="1">
      <alignment horizontal="justify" vertical="center"/>
    </xf>
    <xf numFmtId="0" fontId="9" fillId="3" borderId="54" xfId="0" applyFont="1" applyFill="1" applyBorder="1" applyAlignment="1">
      <alignment horizontal="center" vertical="center" wrapText="1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horizontal="left" vertical="center"/>
    </xf>
    <xf numFmtId="0" fontId="7" fillId="6" borderId="38" xfId="0" applyFont="1" applyFill="1" applyBorder="1" applyAlignment="1">
      <alignment horizontal="left" vertical="center"/>
    </xf>
    <xf numFmtId="166" fontId="8" fillId="7" borderId="31" xfId="0" applyNumberFormat="1" applyFont="1" applyFill="1" applyBorder="1" applyAlignment="1">
      <alignment horizontal="center" vertical="center"/>
    </xf>
    <xf numFmtId="166" fontId="8" fillId="7" borderId="49" xfId="0" applyNumberFormat="1" applyFont="1" applyFill="1" applyBorder="1" applyAlignment="1">
      <alignment horizontal="center" vertical="center"/>
    </xf>
    <xf numFmtId="0" fontId="8" fillId="17" borderId="38" xfId="0" applyFont="1" applyFill="1" applyBorder="1" applyAlignment="1">
      <alignment horizontal="center" vertical="center"/>
    </xf>
    <xf numFmtId="0" fontId="8" fillId="17" borderId="6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left" vertical="center"/>
    </xf>
    <xf numFmtId="0" fontId="7" fillId="15" borderId="42" xfId="0" applyFont="1" applyFill="1" applyBorder="1" applyAlignment="1">
      <alignment horizontal="left" vertical="center"/>
    </xf>
    <xf numFmtId="0" fontId="7" fillId="15" borderId="40" xfId="0" applyFont="1" applyFill="1" applyBorder="1" applyAlignment="1">
      <alignment horizontal="left" vertical="center"/>
    </xf>
    <xf numFmtId="0" fontId="8" fillId="8" borderId="24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center" vertical="center"/>
    </xf>
    <xf numFmtId="0" fontId="8" fillId="8" borderId="44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left" vertical="center"/>
    </xf>
    <xf numFmtId="0" fontId="7" fillId="6" borderId="66" xfId="0" applyFont="1" applyFill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8" fillId="17" borderId="38" xfId="0" applyFont="1" applyFill="1" applyBorder="1" applyAlignment="1">
      <alignment horizontal="center" vertical="center" wrapText="1"/>
    </xf>
    <xf numFmtId="0" fontId="8" fillId="17" borderId="29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5" fillId="4" borderId="5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 wrapText="1"/>
    </xf>
    <xf numFmtId="0" fontId="73" fillId="4" borderId="5" xfId="0" applyFont="1" applyFill="1" applyBorder="1" applyAlignment="1">
      <alignment horizontal="center" vertical="center" wrapText="1"/>
    </xf>
    <xf numFmtId="0" fontId="73" fillId="4" borderId="7" xfId="0" applyFont="1" applyFill="1" applyBorder="1" applyAlignment="1">
      <alignment horizontal="center" vertical="center" wrapText="1"/>
    </xf>
    <xf numFmtId="0" fontId="25" fillId="4" borderId="64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167" fontId="21" fillId="12" borderId="3" xfId="0" applyNumberFormat="1" applyFont="1" applyFill="1" applyBorder="1" applyAlignment="1">
      <alignment horizontal="center"/>
    </xf>
    <xf numFmtId="167" fontId="0" fillId="12" borderId="3" xfId="0" applyNumberFormat="1" applyFill="1" applyBorder="1" applyAlignment="1">
      <alignment horizontal="center"/>
    </xf>
    <xf numFmtId="167" fontId="21" fillId="0" borderId="3" xfId="0" applyNumberFormat="1" applyFon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28" fillId="3" borderId="54" xfId="0" applyFont="1" applyFill="1" applyBorder="1" applyAlignment="1">
      <alignment horizontal="center" vertical="center" wrapText="1"/>
    </xf>
    <xf numFmtId="0" fontId="28" fillId="3" borderId="55" xfId="0" applyFont="1" applyFill="1" applyBorder="1" applyAlignment="1">
      <alignment horizontal="center" vertical="center" wrapText="1"/>
    </xf>
    <xf numFmtId="0" fontId="28" fillId="3" borderId="56" xfId="0" applyFont="1" applyFill="1" applyBorder="1" applyAlignment="1">
      <alignment horizontal="center" vertical="center" wrapText="1"/>
    </xf>
    <xf numFmtId="0" fontId="30" fillId="23" borderId="83" xfId="0" applyFont="1" applyFill="1" applyBorder="1" applyAlignment="1">
      <alignment horizontal="left" vertical="center" wrapText="1"/>
    </xf>
    <xf numFmtId="0" fontId="30" fillId="23" borderId="0" xfId="0" applyFont="1" applyFill="1" applyBorder="1" applyAlignment="1">
      <alignment horizontal="left" vertical="center" wrapText="1"/>
    </xf>
    <xf numFmtId="0" fontId="30" fillId="23" borderId="75" xfId="0" applyFont="1" applyFill="1" applyBorder="1" applyAlignment="1">
      <alignment horizontal="left"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5" fillId="2" borderId="41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31" xfId="0" applyFont="1" applyFill="1" applyBorder="1" applyAlignment="1">
      <alignment horizontal="center" vertical="center" wrapText="1"/>
    </xf>
    <xf numFmtId="0" fontId="25" fillId="2" borderId="40" xfId="0" applyFont="1" applyFill="1" applyBorder="1" applyAlignment="1">
      <alignment horizontal="center" vertical="center" wrapText="1"/>
    </xf>
    <xf numFmtId="0" fontId="25" fillId="8" borderId="5" xfId="0" applyFont="1" applyFill="1" applyBorder="1" applyAlignment="1">
      <alignment horizontal="center" vertical="center" wrapText="1"/>
    </xf>
    <xf numFmtId="0" fontId="25" fillId="8" borderId="6" xfId="0" applyFont="1" applyFill="1" applyBorder="1" applyAlignment="1">
      <alignment horizontal="center" vertical="center" wrapText="1"/>
    </xf>
    <xf numFmtId="0" fontId="25" fillId="8" borderId="54" xfId="0" applyFont="1" applyFill="1" applyBorder="1" applyAlignment="1">
      <alignment horizontal="center" vertical="center" wrapText="1"/>
    </xf>
    <xf numFmtId="0" fontId="25" fillId="8" borderId="55" xfId="0" applyFont="1" applyFill="1" applyBorder="1" applyAlignment="1">
      <alignment horizontal="center" vertical="center" wrapText="1"/>
    </xf>
    <xf numFmtId="0" fontId="0" fillId="0" borderId="56" xfId="0" applyBorder="1" applyAlignment="1">
      <alignment vertical="center" wrapText="1"/>
    </xf>
    <xf numFmtId="0" fontId="7" fillId="14" borderId="0" xfId="0" applyFont="1" applyFill="1" applyBorder="1" applyAlignment="1">
      <alignment horizontal="left" vertical="center"/>
    </xf>
    <xf numFmtId="0" fontId="25" fillId="26" borderId="3" xfId="0" applyFont="1" applyFill="1" applyBorder="1" applyAlignment="1">
      <alignment horizontal="center"/>
    </xf>
    <xf numFmtId="0" fontId="27" fillId="26" borderId="3" xfId="0" applyFont="1" applyFill="1" applyBorder="1" applyAlignment="1">
      <alignment horizontal="center"/>
    </xf>
    <xf numFmtId="0" fontId="9" fillId="33" borderId="5" xfId="0" applyFont="1" applyFill="1" applyBorder="1" applyAlignment="1">
      <alignment horizontal="center" vertical="center"/>
    </xf>
    <xf numFmtId="0" fontId="9" fillId="33" borderId="6" xfId="0" applyFont="1" applyFill="1" applyBorder="1" applyAlignment="1">
      <alignment horizontal="center" vertical="center"/>
    </xf>
    <xf numFmtId="0" fontId="9" fillId="33" borderId="7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8" fillId="3" borderId="65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62" xfId="0" applyFont="1" applyFill="1" applyBorder="1" applyAlignment="1">
      <alignment horizontal="center" vertical="center"/>
    </xf>
    <xf numFmtId="0" fontId="8" fillId="8" borderId="80" xfId="0" applyFont="1" applyFill="1" applyBorder="1" applyAlignment="1">
      <alignment horizontal="center" vertical="center"/>
    </xf>
    <xf numFmtId="0" fontId="8" fillId="8" borderId="81" xfId="0" applyFont="1" applyFill="1" applyBorder="1" applyAlignment="1">
      <alignment horizontal="center" vertical="center"/>
    </xf>
    <xf numFmtId="0" fontId="8" fillId="8" borderId="77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0" fontId="8" fillId="5" borderId="24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left" vertical="center"/>
    </xf>
    <xf numFmtId="0" fontId="8" fillId="5" borderId="44" xfId="0" applyFont="1" applyFill="1" applyBorder="1" applyAlignment="1">
      <alignment horizontal="left" vertical="center"/>
    </xf>
    <xf numFmtId="0" fontId="7" fillId="6" borderId="28" xfId="0" applyFont="1" applyFill="1" applyBorder="1" applyAlignment="1">
      <alignment horizontal="left" vertical="center"/>
    </xf>
    <xf numFmtId="0" fontId="7" fillId="19" borderId="28" xfId="0" applyFont="1" applyFill="1" applyBorder="1" applyAlignment="1">
      <alignment horizontal="left" vertical="center"/>
    </xf>
    <xf numFmtId="0" fontId="7" fillId="19" borderId="27" xfId="0" applyFont="1" applyFill="1" applyBorder="1" applyAlignment="1">
      <alignment horizontal="left" vertical="center"/>
    </xf>
    <xf numFmtId="0" fontId="8" fillId="19" borderId="54" xfId="0" applyFont="1" applyFill="1" applyBorder="1" applyAlignment="1">
      <alignment horizontal="left" vertical="center"/>
    </xf>
    <xf numFmtId="0" fontId="8" fillId="19" borderId="55" xfId="0" applyFont="1" applyFill="1" applyBorder="1" applyAlignment="1">
      <alignment horizontal="left" vertical="center"/>
    </xf>
    <xf numFmtId="0" fontId="8" fillId="19" borderId="61" xfId="0" applyFont="1" applyFill="1" applyBorder="1" applyAlignment="1">
      <alignment horizontal="center" vertical="center" wrapText="1"/>
    </xf>
    <xf numFmtId="0" fontId="8" fillId="19" borderId="0" xfId="0" applyFont="1" applyFill="1" applyBorder="1" applyAlignment="1">
      <alignment horizontal="center" vertical="center" wrapText="1"/>
    </xf>
    <xf numFmtId="0" fontId="8" fillId="19" borderId="76" xfId="0" applyFont="1" applyFill="1" applyBorder="1" applyAlignment="1">
      <alignment horizontal="center" vertical="center" wrapText="1"/>
    </xf>
    <xf numFmtId="0" fontId="8" fillId="19" borderId="70" xfId="0" applyFont="1" applyFill="1" applyBorder="1" applyAlignment="1">
      <alignment horizontal="center" vertical="center" wrapText="1"/>
    </xf>
    <xf numFmtId="0" fontId="8" fillId="19" borderId="75" xfId="0" applyFont="1" applyFill="1" applyBorder="1" applyAlignment="1">
      <alignment horizontal="center" vertical="center" wrapText="1"/>
    </xf>
    <xf numFmtId="0" fontId="8" fillId="19" borderId="73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/>
    </xf>
    <xf numFmtId="0" fontId="7" fillId="19" borderId="17" xfId="0" applyFont="1" applyFill="1" applyBorder="1" applyAlignment="1">
      <alignment horizontal="justify" vertical="center"/>
    </xf>
    <xf numFmtId="0" fontId="7" fillId="0" borderId="41" xfId="0" applyFont="1" applyBorder="1" applyAlignment="1">
      <alignment horizontal="left" vertical="center"/>
    </xf>
    <xf numFmtId="0" fontId="7" fillId="0" borderId="42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8" fillId="8" borderId="26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7" fillId="5" borderId="64" xfId="0" applyFont="1" applyFill="1" applyBorder="1" applyAlignment="1">
      <alignment horizontal="left" vertical="center"/>
    </xf>
    <xf numFmtId="0" fontId="7" fillId="5" borderId="49" xfId="0" applyFont="1" applyFill="1" applyBorder="1" applyAlignment="1">
      <alignment horizontal="left" vertical="center"/>
    </xf>
    <xf numFmtId="0" fontId="7" fillId="5" borderId="50" xfId="0" applyFont="1" applyFill="1" applyBorder="1" applyAlignment="1">
      <alignment horizontal="left" vertical="center"/>
    </xf>
    <xf numFmtId="0" fontId="7" fillId="6" borderId="40" xfId="0" applyFont="1" applyFill="1" applyBorder="1" applyAlignment="1">
      <alignment vertical="center"/>
    </xf>
    <xf numFmtId="0" fontId="0" fillId="0" borderId="77" xfId="0" applyBorder="1" applyAlignment="1">
      <alignment horizontal="center"/>
    </xf>
    <xf numFmtId="0" fontId="0" fillId="0" borderId="55" xfId="0" applyBorder="1" applyAlignment="1">
      <alignment horizontal="center"/>
    </xf>
    <xf numFmtId="0" fontId="17" fillId="0" borderId="38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/>
    </xf>
    <xf numFmtId="0" fontId="17" fillId="0" borderId="62" xfId="0" applyFont="1" applyBorder="1" applyAlignment="1">
      <alignment horizontal="left" vertical="center"/>
    </xf>
    <xf numFmtId="0" fontId="8" fillId="5" borderId="54" xfId="0" applyFont="1" applyFill="1" applyBorder="1" applyAlignment="1">
      <alignment vertical="center"/>
    </xf>
    <xf numFmtId="0" fontId="8" fillId="5" borderId="55" xfId="0" applyFont="1" applyFill="1" applyBorder="1" applyAlignment="1">
      <alignment vertical="center"/>
    </xf>
    <xf numFmtId="0" fontId="8" fillId="5" borderId="63" xfId="0" applyFont="1" applyFill="1" applyBorder="1" applyAlignment="1">
      <alignment vertical="center"/>
    </xf>
    <xf numFmtId="0" fontId="7" fillId="6" borderId="44" xfId="0" applyFont="1" applyFill="1" applyBorder="1" applyAlignment="1">
      <alignment horizontal="left" vertical="center"/>
    </xf>
    <xf numFmtId="0" fontId="7" fillId="6" borderId="55" xfId="0" applyFont="1" applyFill="1" applyBorder="1" applyAlignment="1">
      <alignment horizontal="left" vertical="center"/>
    </xf>
    <xf numFmtId="0" fontId="7" fillId="6" borderId="63" xfId="0" applyFont="1" applyFill="1" applyBorder="1" applyAlignment="1">
      <alignment horizontal="left" vertical="center"/>
    </xf>
    <xf numFmtId="0" fontId="8" fillId="5" borderId="63" xfId="0" applyFont="1" applyFill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7" fillId="5" borderId="31" xfId="0" applyFont="1" applyFill="1" applyBorder="1" applyAlignment="1">
      <alignment horizontal="left" vertical="center"/>
    </xf>
    <xf numFmtId="0" fontId="7" fillId="5" borderId="16" xfId="0" applyFont="1" applyFill="1" applyBorder="1" applyAlignment="1">
      <alignment horizontal="left" vertical="center"/>
    </xf>
    <xf numFmtId="0" fontId="7" fillId="5" borderId="17" xfId="0" applyFont="1" applyFill="1" applyBorder="1" applyAlignment="1">
      <alignment horizontal="left" vertical="center"/>
    </xf>
    <xf numFmtId="0" fontId="7" fillId="5" borderId="51" xfId="0" applyFont="1" applyFill="1" applyBorder="1" applyAlignment="1">
      <alignment horizontal="left" vertical="center"/>
    </xf>
    <xf numFmtId="0" fontId="7" fillId="5" borderId="32" xfId="0" applyFont="1" applyFill="1" applyBorder="1" applyAlignment="1">
      <alignment horizontal="left" vertical="center"/>
    </xf>
    <xf numFmtId="0" fontId="7" fillId="5" borderId="52" xfId="0" applyFont="1" applyFill="1" applyBorder="1" applyAlignment="1">
      <alignment horizontal="left" vertical="center"/>
    </xf>
    <xf numFmtId="0" fontId="7" fillId="5" borderId="53" xfId="0" applyFont="1" applyFill="1" applyBorder="1" applyAlignment="1">
      <alignment horizontal="left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17" fillId="0" borderId="45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8" fillId="3" borderId="64" xfId="0" applyFont="1" applyFill="1" applyBorder="1" applyAlignment="1">
      <alignment horizontal="center" vertical="center"/>
    </xf>
    <xf numFmtId="0" fontId="8" fillId="3" borderId="49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0" fillId="0" borderId="3" xfId="0" applyBorder="1" applyAlignment="1"/>
    <xf numFmtId="0" fontId="0" fillId="0" borderId="1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8" fillId="2" borderId="24" xfId="0" applyFont="1" applyFill="1" applyBorder="1" applyAlignment="1">
      <alignment horizontal="left" vertical="center"/>
    </xf>
    <xf numFmtId="0" fontId="8" fillId="2" borderId="25" xfId="0" applyFont="1" applyFill="1" applyBorder="1" applyAlignment="1">
      <alignment horizontal="left" vertical="center"/>
    </xf>
    <xf numFmtId="0" fontId="8" fillId="2" borderId="4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vertical="center"/>
    </xf>
    <xf numFmtId="0" fontId="8" fillId="5" borderId="9" xfId="0" applyFont="1" applyFill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8" fillId="5" borderId="11" xfId="0" applyFont="1" applyFill="1" applyBorder="1" applyAlignment="1">
      <alignment vertical="center"/>
    </xf>
    <xf numFmtId="0" fontId="8" fillId="5" borderId="3" xfId="0" applyFont="1" applyFill="1" applyBorder="1" applyAlignment="1">
      <alignment vertical="center"/>
    </xf>
    <xf numFmtId="0" fontId="7" fillId="0" borderId="12" xfId="0" applyFont="1" applyBorder="1" applyAlignment="1">
      <alignment horizontal="left" vertical="center"/>
    </xf>
    <xf numFmtId="0" fontId="8" fillId="5" borderId="13" xfId="0" applyFont="1" applyFill="1" applyBorder="1" applyAlignment="1">
      <alignment vertical="center"/>
    </xf>
    <xf numFmtId="0" fontId="8" fillId="5" borderId="14" xfId="0" applyFont="1" applyFill="1" applyBorder="1" applyAlignment="1">
      <alignment vertical="center"/>
    </xf>
    <xf numFmtId="14" fontId="21" fillId="0" borderId="14" xfId="0" applyNumberFormat="1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17" fillId="0" borderId="45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7" fillId="0" borderId="46" xfId="0" applyFont="1" applyBorder="1" applyAlignment="1">
      <alignment vertical="center"/>
    </xf>
    <xf numFmtId="0" fontId="8" fillId="3" borderId="24" xfId="0" applyFont="1" applyFill="1" applyBorder="1" applyAlignment="1">
      <alignment horizontal="left" vertical="center"/>
    </xf>
    <xf numFmtId="0" fontId="8" fillId="3" borderId="25" xfId="0" applyFont="1" applyFill="1" applyBorder="1" applyAlignment="1">
      <alignment horizontal="left" vertical="center"/>
    </xf>
    <xf numFmtId="0" fontId="8" fillId="3" borderId="26" xfId="0" applyFont="1" applyFill="1" applyBorder="1" applyAlignment="1">
      <alignment horizontal="left" vertical="center"/>
    </xf>
    <xf numFmtId="166" fontId="8" fillId="1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6" borderId="40" xfId="0" applyFont="1" applyFill="1" applyBorder="1" applyAlignment="1">
      <alignment horizontal="left" vertical="center"/>
    </xf>
    <xf numFmtId="0" fontId="7" fillId="6" borderId="27" xfId="0" applyFont="1" applyFill="1" applyBorder="1" applyAlignment="1">
      <alignment horizontal="left" vertical="center"/>
    </xf>
    <xf numFmtId="0" fontId="16" fillId="6" borderId="3" xfId="0" applyFont="1" applyFill="1" applyBorder="1"/>
    <xf numFmtId="0" fontId="16" fillId="6" borderId="16" xfId="0" applyFont="1" applyFill="1" applyBorder="1"/>
    <xf numFmtId="0" fontId="8" fillId="2" borderId="54" xfId="0" applyFont="1" applyFill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7" fillId="0" borderId="31" xfId="0" applyFont="1" applyBorder="1" applyAlignment="1">
      <alignment horizontal="left" vertical="center" wrapText="1"/>
    </xf>
    <xf numFmtId="0" fontId="0" fillId="0" borderId="49" xfId="0" applyBorder="1" applyAlignment="1">
      <alignment horizontal="left" vertical="center"/>
    </xf>
    <xf numFmtId="0" fontId="7" fillId="18" borderId="42" xfId="0" applyFont="1" applyFill="1" applyBorder="1" applyAlignment="1">
      <alignment horizontal="left" vertical="center"/>
    </xf>
    <xf numFmtId="0" fontId="7" fillId="18" borderId="40" xfId="0" applyFont="1" applyFill="1" applyBorder="1" applyAlignment="1">
      <alignment horizontal="left" vertical="center"/>
    </xf>
    <xf numFmtId="0" fontId="7" fillId="6" borderId="18" xfId="0" applyFont="1" applyFill="1" applyBorder="1" applyAlignment="1">
      <alignment vertical="center"/>
    </xf>
    <xf numFmtId="0" fontId="7" fillId="6" borderId="20" xfId="0" applyFont="1" applyFill="1" applyBorder="1" applyAlignment="1">
      <alignment vertical="center"/>
    </xf>
    <xf numFmtId="0" fontId="7" fillId="6" borderId="14" xfId="0" applyFont="1" applyFill="1" applyBorder="1" applyAlignment="1">
      <alignment vertical="center"/>
    </xf>
    <xf numFmtId="0" fontId="7" fillId="6" borderId="32" xfId="0" applyFont="1" applyFill="1" applyBorder="1" applyAlignment="1">
      <alignment vertical="center"/>
    </xf>
    <xf numFmtId="0" fontId="7" fillId="6" borderId="14" xfId="0" applyFont="1" applyFill="1" applyBorder="1" applyAlignment="1">
      <alignment horizontal="left" vertical="center"/>
    </xf>
    <xf numFmtId="0" fontId="7" fillId="16" borderId="0" xfId="0" applyFont="1" applyFill="1" applyBorder="1" applyAlignment="1">
      <alignment horizontal="left" vertical="center"/>
    </xf>
    <xf numFmtId="0" fontId="8" fillId="16" borderId="0" xfId="0" applyFont="1" applyFill="1" applyBorder="1" applyAlignment="1">
      <alignment horizontal="left" vertical="center"/>
    </xf>
    <xf numFmtId="0" fontId="8" fillId="17" borderId="0" xfId="0" applyFont="1" applyFill="1" applyBorder="1" applyAlignment="1">
      <alignment horizontal="center" vertical="center"/>
    </xf>
    <xf numFmtId="0" fontId="8" fillId="14" borderId="0" xfId="0" applyFont="1" applyFill="1" applyBorder="1" applyAlignment="1">
      <alignment horizontal="center" vertical="center" wrapText="1"/>
    </xf>
    <xf numFmtId="165" fontId="8" fillId="14" borderId="0" xfId="0" applyNumberFormat="1" applyFont="1" applyFill="1" applyBorder="1" applyAlignment="1">
      <alignment horizontal="center" vertical="center" wrapText="1"/>
    </xf>
    <xf numFmtId="0" fontId="8" fillId="14" borderId="0" xfId="0" applyFont="1" applyFill="1" applyBorder="1" applyAlignment="1">
      <alignment horizontal="center" vertical="center"/>
    </xf>
    <xf numFmtId="0" fontId="9" fillId="33" borderId="24" xfId="0" applyFont="1" applyFill="1" applyBorder="1" applyAlignment="1">
      <alignment horizontal="center" vertical="center"/>
    </xf>
    <xf numFmtId="0" fontId="53" fillId="34" borderId="2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4" fillId="33" borderId="54" xfId="0" applyFont="1" applyFill="1" applyBorder="1" applyAlignment="1">
      <alignment horizontal="center" vertical="center"/>
    </xf>
    <xf numFmtId="0" fontId="55" fillId="34" borderId="55" xfId="0" applyFont="1" applyFill="1" applyBorder="1" applyAlignment="1">
      <alignment horizontal="center" vertical="center"/>
    </xf>
    <xf numFmtId="0" fontId="0" fillId="6" borderId="103" xfId="0" applyFill="1" applyBorder="1" applyAlignment="1"/>
    <xf numFmtId="0" fontId="0" fillId="0" borderId="49" xfId="0" applyBorder="1" applyAlignment="1"/>
    <xf numFmtId="0" fontId="0" fillId="0" borderId="104" xfId="0" applyBorder="1" applyAlignment="1"/>
    <xf numFmtId="0" fontId="8" fillId="5" borderId="54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8" fillId="5" borderId="36" xfId="0" applyFont="1" applyFill="1" applyBorder="1" applyAlignment="1">
      <alignment horizontal="left" vertical="center"/>
    </xf>
    <xf numFmtId="0" fontId="8" fillId="5" borderId="37" xfId="0" applyFont="1" applyFill="1" applyBorder="1" applyAlignment="1">
      <alignment horizontal="left" vertical="center"/>
    </xf>
    <xf numFmtId="0" fontId="8" fillId="5" borderId="38" xfId="0" applyFont="1" applyFill="1" applyBorder="1" applyAlignment="1">
      <alignment horizontal="left" vertical="center"/>
    </xf>
    <xf numFmtId="0" fontId="8" fillId="2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7" fillId="0" borderId="27" xfId="0" applyFont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31" xfId="0" applyFont="1" applyFill="1" applyBorder="1" applyAlignment="1">
      <alignment horizontal="left" vertical="center"/>
    </xf>
    <xf numFmtId="0" fontId="7" fillId="18" borderId="3" xfId="0" applyFont="1" applyFill="1" applyBorder="1" applyAlignment="1">
      <alignment horizontal="left" vertical="center"/>
    </xf>
    <xf numFmtId="0" fontId="7" fillId="18" borderId="16" xfId="0" applyFont="1" applyFill="1" applyBorder="1" applyAlignment="1">
      <alignment horizontal="left" vertical="center"/>
    </xf>
    <xf numFmtId="173" fontId="28" fillId="0" borderId="16" xfId="0" applyNumberFormat="1" applyFont="1" applyBorder="1" applyAlignment="1">
      <alignment horizontal="center" vertical="center"/>
    </xf>
    <xf numFmtId="7" fontId="27" fillId="0" borderId="16" xfId="0" applyNumberFormat="1" applyFont="1" applyBorder="1" applyAlignment="1">
      <alignment horizontal="center" vertical="top"/>
    </xf>
    <xf numFmtId="7" fontId="0" fillId="0" borderId="17" xfId="0" applyNumberFormat="1" applyBorder="1" applyAlignment="1">
      <alignment horizontal="center" vertical="top"/>
    </xf>
    <xf numFmtId="7" fontId="0" fillId="0" borderId="18" xfId="0" applyNumberFormat="1" applyBorder="1" applyAlignment="1">
      <alignment horizontal="center" vertical="top"/>
    </xf>
    <xf numFmtId="170" fontId="28" fillId="29" borderId="90" xfId="0" applyNumberFormat="1" applyFont="1" applyFill="1" applyBorder="1" applyAlignment="1">
      <alignment horizontal="center" vertical="center" wrapText="1"/>
    </xf>
    <xf numFmtId="0" fontId="0" fillId="16" borderId="91" xfId="0" applyFill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8" fillId="28" borderId="16" xfId="0" applyFont="1" applyFill="1" applyBorder="1" applyAlignment="1">
      <alignment horizontal="center" vertical="center"/>
    </xf>
    <xf numFmtId="0" fontId="0" fillId="28" borderId="17" xfId="0" applyFill="1" applyBorder="1" applyAlignment="1">
      <alignment horizontal="center" vertical="center"/>
    </xf>
    <xf numFmtId="0" fontId="0" fillId="28" borderId="96" xfId="0" applyFill="1" applyBorder="1" applyAlignment="1">
      <alignment horizontal="center" vertical="center"/>
    </xf>
    <xf numFmtId="0" fontId="28" fillId="0" borderId="6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47" fillId="28" borderId="3" xfId="0" applyFont="1" applyFill="1" applyBorder="1" applyAlignment="1">
      <alignment horizontal="center" vertical="center"/>
    </xf>
    <xf numFmtId="0" fontId="48" fillId="0" borderId="3" xfId="0" applyFont="1" applyBorder="1" applyAlignment="1">
      <alignment horizontal="center" vertical="center"/>
    </xf>
    <xf numFmtId="0" fontId="28" fillId="0" borderId="99" xfId="0" applyFon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28" fillId="29" borderId="84" xfId="0" applyFont="1" applyFill="1" applyBorder="1" applyAlignment="1">
      <alignment horizontal="center" vertical="center" wrapText="1"/>
    </xf>
    <xf numFmtId="0" fontId="28" fillId="29" borderId="86" xfId="0" applyFont="1" applyFill="1" applyBorder="1" applyAlignment="1">
      <alignment horizontal="center" vertical="center" wrapText="1"/>
    </xf>
    <xf numFmtId="173" fontId="28" fillId="28" borderId="97" xfId="0" applyNumberFormat="1" applyFont="1" applyFill="1" applyBorder="1" applyAlignment="1">
      <alignment horizontal="center" vertical="center"/>
    </xf>
    <xf numFmtId="173" fontId="28" fillId="28" borderId="98" xfId="0" applyNumberFormat="1" applyFont="1" applyFill="1" applyBorder="1" applyAlignment="1">
      <alignment horizontal="center" vertical="center"/>
    </xf>
    <xf numFmtId="173" fontId="28" fillId="16" borderId="3" xfId="0" applyNumberFormat="1" applyFont="1" applyFill="1" applyBorder="1" applyAlignment="1">
      <alignment horizontal="center" vertical="center"/>
    </xf>
    <xf numFmtId="0" fontId="0" fillId="16" borderId="3" xfId="0" applyFill="1" applyBorder="1" applyAlignment="1">
      <alignment horizontal="center" vertical="center"/>
    </xf>
    <xf numFmtId="0" fontId="28" fillId="28" borderId="16" xfId="0" applyFont="1" applyFill="1" applyBorder="1" applyAlignment="1">
      <alignment horizontal="center"/>
    </xf>
    <xf numFmtId="0" fontId="46" fillId="28" borderId="17" xfId="0" applyFont="1" applyFill="1" applyBorder="1" applyAlignment="1">
      <alignment horizontal="center"/>
    </xf>
    <xf numFmtId="0" fontId="46" fillId="28" borderId="18" xfId="0" applyFont="1" applyFill="1" applyBorder="1" applyAlignment="1">
      <alignment horizontal="center"/>
    </xf>
    <xf numFmtId="173" fontId="28" fillId="28" borderId="27" xfId="0" applyNumberFormat="1" applyFont="1" applyFill="1" applyBorder="1" applyAlignment="1">
      <alignment horizontal="center" vertical="center"/>
    </xf>
    <xf numFmtId="0" fontId="0" fillId="28" borderId="69" xfId="0" applyFill="1" applyBorder="1" applyAlignment="1">
      <alignment horizontal="center" vertical="center"/>
    </xf>
    <xf numFmtId="173" fontId="28" fillId="28" borderId="40" xfId="0" applyNumberFormat="1" applyFont="1" applyFill="1" applyBorder="1" applyAlignment="1">
      <alignment horizontal="center" vertical="center"/>
    </xf>
    <xf numFmtId="0" fontId="26" fillId="0" borderId="61" xfId="0" applyFont="1" applyBorder="1" applyAlignment="1">
      <alignment horizontal="justify" vertical="justify"/>
    </xf>
    <xf numFmtId="0" fontId="26" fillId="0" borderId="0" xfId="0" applyFont="1" applyBorder="1" applyAlignment="1">
      <alignment horizontal="justify" vertical="justify"/>
    </xf>
    <xf numFmtId="0" fontId="0" fillId="0" borderId="0" xfId="0" applyAlignment="1">
      <alignment horizontal="justify" vertical="justify"/>
    </xf>
    <xf numFmtId="0" fontId="0" fillId="0" borderId="76" xfId="0" applyBorder="1" applyAlignment="1">
      <alignment horizontal="justify" vertical="justify"/>
    </xf>
    <xf numFmtId="0" fontId="0" fillId="0" borderId="61" xfId="0" applyBorder="1" applyAlignment="1">
      <alignment horizontal="justify" vertical="justify"/>
    </xf>
    <xf numFmtId="0" fontId="28" fillId="16" borderId="3" xfId="0" applyFont="1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173" fontId="25" fillId="16" borderId="3" xfId="0" applyNumberFormat="1" applyFont="1" applyFill="1" applyBorder="1" applyAlignment="1">
      <alignment horizontal="center" vertical="center"/>
    </xf>
    <xf numFmtId="0" fontId="21" fillId="16" borderId="3" xfId="0" applyFont="1" applyFill="1" applyBorder="1" applyAlignment="1">
      <alignment horizontal="center" vertical="center"/>
    </xf>
    <xf numFmtId="0" fontId="49" fillId="28" borderId="16" xfId="0" applyFont="1" applyFill="1" applyBorder="1" applyAlignment="1">
      <alignment horizontal="center"/>
    </xf>
    <xf numFmtId="0" fontId="50" fillId="28" borderId="17" xfId="0" applyFont="1" applyFill="1" applyBorder="1" applyAlignment="1">
      <alignment horizontal="center"/>
    </xf>
    <xf numFmtId="0" fontId="50" fillId="28" borderId="18" xfId="0" applyFont="1" applyFill="1" applyBorder="1" applyAlignment="1">
      <alignment horizontal="center"/>
    </xf>
    <xf numFmtId="173" fontId="49" fillId="28" borderId="18" xfId="0" applyNumberFormat="1" applyFont="1" applyFill="1" applyBorder="1" applyAlignment="1">
      <alignment horizontal="center" vertical="center"/>
    </xf>
    <xf numFmtId="0" fontId="51" fillId="28" borderId="3" xfId="0" applyFont="1" applyFill="1" applyBorder="1" applyAlignment="1">
      <alignment horizontal="center" vertical="center"/>
    </xf>
    <xf numFmtId="173" fontId="49" fillId="28" borderId="38" xfId="0" applyNumberFormat="1" applyFont="1" applyFill="1" applyBorder="1" applyAlignment="1">
      <alignment horizontal="center" vertical="center"/>
    </xf>
    <xf numFmtId="0" fontId="51" fillId="28" borderId="62" xfId="0" applyFont="1" applyFill="1" applyBorder="1" applyAlignment="1">
      <alignment horizontal="center" vertical="center"/>
    </xf>
    <xf numFmtId="0" fontId="38" fillId="0" borderId="61" xfId="0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76" xfId="0" applyFont="1" applyBorder="1" applyAlignment="1">
      <alignment horizontal="center"/>
    </xf>
    <xf numFmtId="0" fontId="21" fillId="0" borderId="6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76" xfId="0" applyFont="1" applyBorder="1" applyAlignment="1">
      <alignment horizontal="center" vertical="center"/>
    </xf>
    <xf numFmtId="0" fontId="36" fillId="0" borderId="61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76" xfId="0" applyFont="1" applyBorder="1" applyAlignment="1">
      <alignment horizontal="center" vertical="center"/>
    </xf>
    <xf numFmtId="0" fontId="21" fillId="0" borderId="61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76" xfId="0" applyFont="1" applyBorder="1" applyAlignment="1">
      <alignment horizontal="left" vertical="center" wrapText="1"/>
    </xf>
    <xf numFmtId="170" fontId="21" fillId="28" borderId="108" xfId="0" applyNumberFormat="1" applyFont="1" applyFill="1" applyBorder="1" applyAlignment="1">
      <alignment horizontal="center" vertical="center"/>
    </xf>
    <xf numFmtId="170" fontId="0" fillId="28" borderId="100" xfId="0" applyNumberFormat="1" applyFill="1" applyBorder="1" applyAlignment="1">
      <alignment horizontal="center" vertical="center"/>
    </xf>
    <xf numFmtId="170" fontId="0" fillId="28" borderId="102" xfId="0" applyNumberFormat="1" applyFill="1" applyBorder="1" applyAlignment="1">
      <alignment horizontal="center" vertical="center"/>
    </xf>
    <xf numFmtId="170" fontId="21" fillId="28" borderId="101" xfId="0" applyNumberFormat="1" applyFont="1" applyFill="1" applyBorder="1" applyAlignment="1">
      <alignment horizontal="center" vertical="center"/>
    </xf>
    <xf numFmtId="170" fontId="0" fillId="28" borderId="92" xfId="0" applyNumberFormat="1" applyFill="1" applyBorder="1" applyAlignment="1">
      <alignment horizontal="center" vertical="center"/>
    </xf>
    <xf numFmtId="170" fontId="0" fillId="28" borderId="93" xfId="0" applyNumberFormat="1" applyFill="1" applyBorder="1" applyAlignment="1">
      <alignment horizontal="center" vertical="center"/>
    </xf>
    <xf numFmtId="0" fontId="35" fillId="24" borderId="5" xfId="0" applyFont="1" applyFill="1" applyBorder="1" applyAlignment="1">
      <alignment horizontal="center" vertical="center" wrapText="1"/>
    </xf>
    <xf numFmtId="0" fontId="35" fillId="24" borderId="6" xfId="0" applyFont="1" applyFill="1" applyBorder="1" applyAlignment="1">
      <alignment horizontal="center" vertical="center"/>
    </xf>
    <xf numFmtId="0" fontId="35" fillId="24" borderId="7" xfId="0" applyFont="1" applyFill="1" applyBorder="1" applyAlignment="1">
      <alignment horizontal="center" vertical="center"/>
    </xf>
    <xf numFmtId="0" fontId="21" fillId="0" borderId="84" xfId="0" applyFont="1" applyBorder="1"/>
    <xf numFmtId="0" fontId="21" fillId="0" borderId="86" xfId="0" applyFont="1" applyBorder="1"/>
    <xf numFmtId="0" fontId="33" fillId="0" borderId="84" xfId="0" applyFont="1" applyBorder="1" applyAlignment="1">
      <alignment horizontal="left" vertical="center"/>
    </xf>
    <xf numFmtId="0" fontId="25" fillId="28" borderId="3" xfId="0" applyFont="1" applyFill="1" applyBorder="1" applyAlignment="1">
      <alignment horizontal="center" vertical="center"/>
    </xf>
    <xf numFmtId="0" fontId="27" fillId="28" borderId="37" xfId="0" applyFont="1" applyFill="1" applyBorder="1" applyAlignment="1">
      <alignment horizontal="center" vertical="center"/>
    </xf>
    <xf numFmtId="0" fontId="27" fillId="28" borderId="37" xfId="0" applyFont="1" applyFill="1" applyBorder="1" applyAlignment="1"/>
    <xf numFmtId="0" fontId="25" fillId="28" borderId="42" xfId="0" applyFont="1" applyFill="1" applyBorder="1" applyAlignment="1">
      <alignment horizontal="center" vertical="center"/>
    </xf>
    <xf numFmtId="0" fontId="27" fillId="28" borderId="42" xfId="0" applyFont="1" applyFill="1" applyBorder="1" applyAlignment="1">
      <alignment horizontal="center" vertical="center"/>
    </xf>
    <xf numFmtId="0" fontId="21" fillId="0" borderId="107" xfId="0" applyFont="1" applyBorder="1"/>
    <xf numFmtId="0" fontId="21" fillId="0" borderId="106" xfId="0" applyFont="1" applyBorder="1"/>
    <xf numFmtId="0" fontId="21" fillId="0" borderId="16" xfId="0" applyFont="1" applyBorder="1" applyAlignment="1"/>
    <xf numFmtId="0" fontId="0" fillId="0" borderId="17" xfId="0" applyBorder="1" applyAlignment="1"/>
    <xf numFmtId="0" fontId="0" fillId="0" borderId="18" xfId="0" applyBorder="1" applyAlignment="1"/>
    <xf numFmtId="0" fontId="33" fillId="0" borderId="88" xfId="0" applyFont="1" applyBorder="1" applyAlignment="1">
      <alignment horizontal="left" vertical="center"/>
    </xf>
    <xf numFmtId="0" fontId="0" fillId="0" borderId="88" xfId="0" applyBorder="1" applyAlignment="1"/>
    <xf numFmtId="0" fontId="0" fillId="0" borderId="89" xfId="0" applyBorder="1" applyAlignment="1"/>
    <xf numFmtId="0" fontId="28" fillId="0" borderId="16" xfId="0" applyFont="1" applyBorder="1" applyAlignment="1">
      <alignment horizontal="justify" vertical="center"/>
    </xf>
    <xf numFmtId="0" fontId="46" fillId="0" borderId="17" xfId="0" applyFont="1" applyBorder="1" applyAlignment="1">
      <alignment horizontal="justify" vertical="center"/>
    </xf>
    <xf numFmtId="0" fontId="46" fillId="0" borderId="18" xfId="0" applyFont="1" applyBorder="1" applyAlignment="1">
      <alignment horizontal="justify" vertical="center"/>
    </xf>
  </cellXfs>
  <cellStyles count="25">
    <cellStyle name="cf1" xfId="1" xr:uid="{00000000-0005-0000-0000-000000000000}"/>
    <cellStyle name="cf1 2" xfId="11" xr:uid="{4D9FF2C0-EE40-476B-920B-1DC0C5E23EF0}"/>
    <cellStyle name="cf2" xfId="2" xr:uid="{00000000-0005-0000-0000-000001000000}"/>
    <cellStyle name="cf2 2" xfId="12" xr:uid="{3929F1E8-70BB-4D7F-AA6B-F51226697E5B}"/>
    <cellStyle name="Excel_BuiltIn_Currency 1" xfId="9" xr:uid="{00000000-0005-0000-0000-000002000000}"/>
    <cellStyle name="Moeda" xfId="3" builtinId="4"/>
    <cellStyle name="Moeda 2" xfId="13" xr:uid="{821CE0C0-3579-4A76-A06A-FE65EA9CD968}"/>
    <cellStyle name="Moeda 2 2" xfId="22" xr:uid="{45BF42F3-7042-4C89-A2B5-90EC53FAFE04}"/>
    <cellStyle name="Normal" xfId="0" builtinId="0"/>
    <cellStyle name="Normal 2" xfId="4" xr:uid="{00000000-0005-0000-0000-000005000000}"/>
    <cellStyle name="Normal 2 2" xfId="14" xr:uid="{6EF6EF1C-CA84-4C7C-8276-3FD2D882CECF}"/>
    <cellStyle name="Normal 3" xfId="15" xr:uid="{1C2DA48C-763F-447A-BBB8-D60A957D9381}"/>
    <cellStyle name="Normal 3 2" xfId="21" xr:uid="{2E06C9E7-6EF3-4AA8-86CD-CEC10F416D23}"/>
    <cellStyle name="Normal 4" xfId="10" xr:uid="{545A936B-1588-4E09-8702-0DEFD7F222C2}"/>
    <cellStyle name="Normal 5" xfId="20" xr:uid="{5F3D6520-910B-47F9-A339-89E4F95E4C59}"/>
    <cellStyle name="Porcentagem" xfId="8" builtinId="5"/>
    <cellStyle name="Porcentagem 2" xfId="16" xr:uid="{E8D8B196-A88A-4FF0-9501-43A86BC4C6FF}"/>
    <cellStyle name="Porcentagem 2 2" xfId="23" xr:uid="{C2B66501-DAB5-4BD4-A69C-315774E1087E}"/>
    <cellStyle name="Porcentagem 3" xfId="24" xr:uid="{02534DB9-0097-4D80-8566-2A569C46C57A}"/>
    <cellStyle name="Resultado2" xfId="5" xr:uid="{00000000-0005-0000-0000-000007000000}"/>
    <cellStyle name="Resultado2 2" xfId="17" xr:uid="{1DF12566-58CD-4020-B0B1-47553F962043}"/>
    <cellStyle name="Título 5" xfId="6" xr:uid="{00000000-0005-0000-0000-000008000000}"/>
    <cellStyle name="Título 5 2" xfId="18" xr:uid="{BDC996DA-96A3-4BBC-AAAF-BCEC7272A733}"/>
    <cellStyle name="Título 6" xfId="7" xr:uid="{00000000-0005-0000-0000-000009000000}"/>
    <cellStyle name="Título 6 2" xfId="19" xr:uid="{05D76EE8-4629-414F-B110-53E7F97090B7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BC2E6"/>
      <rgbColor rgb="FF993366"/>
      <rgbColor rgb="FFFFFFCC"/>
      <rgbColor rgb="FFDDEBF7"/>
      <rgbColor rgb="FF660066"/>
      <rgbColor rgb="FFFF8080"/>
      <rgbColor rgb="FF0066CC"/>
      <rgbColor rgb="FFE7E6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FE7F5"/>
      <rgbColor rgb="FFCCFFCC"/>
      <rgbColor rgb="FFEEEEEE"/>
      <rgbColor rgb="FF99CCFF"/>
      <rgbColor rgb="FFFF99CC"/>
      <rgbColor rgb="FFCC99FF"/>
      <rgbColor rgb="FFEDEDED"/>
      <rgbColor rgb="FF3366FF"/>
      <rgbColor rgb="FF83CAFF"/>
      <rgbColor rgb="FF99FFCC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03764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abiana Campos da Costa Nakaya" id="{840DA8FB-0915-4BF1-80A7-60F8416764B9}" userId="S::Fabiana.Costa@rfb.gov.br::72e79e85-6c4b-48e1-b309-3b843a89b394" providerId="AD"/>
</personList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8" dT="2025-01-31T23:28:31.40" personId="{840DA8FB-0915-4BF1-80A7-60F8416764B9}" id="{10EC7389-53F1-4FF9-BA67-29C927D1F1F5}">
    <text xml:space="preserve">O valor deverá se lançado conforme realidade de cada município e necessidade do empregado, e não caberá Termo Aditivo para aumentar o valor, caso o licitante lance  a menor.
</text>
  </threadedComment>
  <threadedComment ref="K42" dT="2025-01-31T17:03:08.40" personId="{840DA8FB-0915-4BF1-80A7-60F8416764B9}" id="{BDB9CE57-6A9B-442E-B648-C1F7767B8294}">
    <text>O licitante deverá ter atenção quanto aos valores considerados paradigmas, conforme Termo de Referência.</text>
  </threadedComment>
  <threadedComment ref="K43" dT="2025-02-03T16:32:52.18" personId="{840DA8FB-0915-4BF1-80A7-60F8416764B9}" id="{28B7EF2A-C264-41ED-B988-A468ACC534A0}">
    <text>Caso a CCT adotada pelo licitante estipule valor maior que o paradigma, o valor da CCT adotada deverá ser lançado nesta célula. Caso a CCT adotada não contemple tal benefício, o licitante deverá lançar o valor paradigma.</text>
  </threadedComment>
  <threadedComment ref="J45" dT="2025-02-03T16:26:36.76" personId="{840DA8FB-0915-4BF1-80A7-60F8416764B9}" id="{A65B6F99-9B38-49C8-ABF2-8E6F31E9581C}">
    <text>Caso a CCT adotada pelo licitante estipule valor maior que o paradigma, o valor da CCT adotada deverá ser lançado nesta célula.</text>
  </threadedComment>
  <threadedComment ref="K48" dT="2025-02-03T16:28:31.19" personId="{840DA8FB-0915-4BF1-80A7-60F8416764B9}" id="{D5645F08-3865-4D3D-A745-AD51C3D0DC58}">
    <text>Caso o valor da CCT adotada seja maior que o paradigma, o licitante deverá lançar o valor da CCT adotada. Caso a CCT adotada não disponha do benefício, o licitante deverá lançar o valor paradigma.</text>
  </threadedComment>
  <threadedComment ref="H57" dT="2025-04-09T20:00:00.79" personId="{840DA8FB-0915-4BF1-80A7-60F8416764B9}" id="{4710DE8A-E3D1-4957-8B04-5D3557AB121D}">
    <text>Inclui o mês de pagamento para o "cobertura" nas férias do titular</text>
  </threadedComment>
  <threadedComment ref="J64" dT="2025-01-31T16:59:42.63" personId="{840DA8FB-0915-4BF1-80A7-60F8416764B9}" id="{047988E5-4BA4-4D25-98E7-4A14FF71E1D0}">
    <text>Atenção: Cálculo considerado por 12 meses e não por vigência.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78" dT="2025-04-09T20:11:47.41" personId="{840DA8FB-0915-4BF1-80A7-60F8416764B9}" id="{DB720FEC-2800-4D50-AEFE-5BBDC49A9499}">
    <text>O pagamento de prêmio de assiduidade ao "cobertura" nas ausências do titular será controlado na célula respectiva do módulo 2.3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B31"/>
  <sheetViews>
    <sheetView showGridLines="0" zoomScale="130" zoomScaleNormal="130" workbookViewId="0">
      <selection activeCell="B5" sqref="B5"/>
    </sheetView>
  </sheetViews>
  <sheetFormatPr defaultColWidth="7.6640625" defaultRowHeight="14"/>
  <cols>
    <col min="1" max="1" width="9.08203125" style="1" customWidth="1"/>
    <col min="2" max="2" width="107.4140625" style="1" customWidth="1"/>
    <col min="3" max="16384" width="7.6640625" style="1"/>
  </cols>
  <sheetData>
    <row r="1" spans="1:2" ht="71.150000000000006" customHeight="1">
      <c r="A1" s="429" t="s">
        <v>0</v>
      </c>
      <c r="B1" s="429"/>
    </row>
    <row r="2" spans="1:2" s="194" customFormat="1" ht="53.4" customHeight="1">
      <c r="A2" s="200">
        <v>1</v>
      </c>
      <c r="B2" s="201" t="s">
        <v>146</v>
      </c>
    </row>
    <row r="3" spans="1:2" s="194" customFormat="1" ht="53.4" customHeight="1">
      <c r="A3" s="200">
        <v>2</v>
      </c>
      <c r="B3" s="202" t="s">
        <v>292</v>
      </c>
    </row>
    <row r="4" spans="1:2" s="194" customFormat="1" ht="53.4" customHeight="1">
      <c r="A4" s="200">
        <v>3</v>
      </c>
      <c r="B4" s="201" t="s">
        <v>340</v>
      </c>
    </row>
    <row r="5" spans="1:2" s="194" customFormat="1" ht="53.4" customHeight="1">
      <c r="A5" s="200">
        <v>4</v>
      </c>
      <c r="B5" s="201" t="s">
        <v>148</v>
      </c>
    </row>
    <row r="6" spans="1:2" s="194" customFormat="1" ht="53.4" customHeight="1">
      <c r="A6" s="200">
        <v>5</v>
      </c>
      <c r="B6" s="201" t="s">
        <v>147</v>
      </c>
    </row>
    <row r="7" spans="1:2" s="194" customFormat="1" ht="53.4" customHeight="1">
      <c r="A7" s="203">
        <v>6</v>
      </c>
      <c r="B7" s="204" t="s">
        <v>221</v>
      </c>
    </row>
    <row r="30" spans="1:1">
      <c r="A30" s="1" t="s">
        <v>97</v>
      </c>
    </row>
    <row r="31" spans="1:1">
      <c r="A31" s="1" t="s">
        <v>227</v>
      </c>
    </row>
  </sheetData>
  <mergeCells count="1">
    <mergeCell ref="A1:B1"/>
  </mergeCells>
  <pageMargins left="0" right="0" top="0.13888888888888901" bottom="0.13888888888888901" header="0" footer="0"/>
  <pageSetup paperSize="9" scale="86" pageOrder="overThenDown" orientation="portrait" useFirstPageNumber="1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F123"/>
  <sheetViews>
    <sheetView showGridLines="0" topLeftCell="A106" zoomScale="90" zoomScaleNormal="90" workbookViewId="0">
      <selection activeCell="O57" sqref="O57"/>
    </sheetView>
  </sheetViews>
  <sheetFormatPr defaultColWidth="7.6640625" defaultRowHeight="14"/>
  <cols>
    <col min="1" max="1" width="4.1640625" style="9" customWidth="1"/>
    <col min="2" max="2" width="10.08203125" style="9" customWidth="1"/>
    <col min="3" max="4" width="12.5" style="9" customWidth="1"/>
    <col min="5" max="5" width="10.5" style="9" customWidth="1"/>
    <col min="6" max="6" width="16.4140625" style="9" customWidth="1"/>
    <col min="7" max="7" width="14.9140625" style="9" customWidth="1"/>
    <col min="8" max="8" width="15.1640625" style="9" customWidth="1"/>
    <col min="9" max="9" width="12.6640625" style="9" customWidth="1"/>
    <col min="10" max="10" width="14.6640625" style="9" customWidth="1"/>
    <col min="11" max="11" width="12.6640625" style="9" customWidth="1"/>
    <col min="12" max="12" width="21.9140625" style="9" customWidth="1"/>
    <col min="13" max="13" width="17.6640625" style="9" customWidth="1"/>
    <col min="14" max="14" width="14.6640625" style="9" customWidth="1"/>
    <col min="15" max="15" width="12.6640625" style="9" customWidth="1"/>
    <col min="16" max="22" width="14.6640625" style="9" customWidth="1"/>
    <col min="23" max="23" width="10.08203125" style="9" customWidth="1"/>
    <col min="24" max="24" width="12.83203125" style="9" customWidth="1"/>
    <col min="25" max="25" width="10.58203125" style="9" customWidth="1"/>
    <col min="26" max="26" width="12.1640625" style="9" customWidth="1"/>
    <col min="27" max="27" width="7.6640625" style="9"/>
    <col min="28" max="28" width="11.9140625" style="9" customWidth="1"/>
    <col min="29" max="29" width="7.6640625" style="9"/>
    <col min="30" max="30" width="11.08203125" style="9" customWidth="1"/>
    <col min="31" max="16384" width="7.6640625" style="9"/>
  </cols>
  <sheetData>
    <row r="1" spans="1:13" ht="40.25" customHeight="1" thickBot="1">
      <c r="A1" s="606" t="s">
        <v>299</v>
      </c>
      <c r="B1" s="607"/>
      <c r="C1" s="607"/>
      <c r="D1" s="607"/>
      <c r="E1" s="607"/>
      <c r="F1" s="607"/>
      <c r="G1" s="607"/>
      <c r="H1" s="607"/>
      <c r="I1" s="607"/>
      <c r="J1" s="607"/>
      <c r="K1" s="608"/>
    </row>
    <row r="2" spans="1:13" ht="15" customHeight="1" thickBot="1">
      <c r="A2" s="2"/>
      <c r="B2" s="2"/>
      <c r="C2" s="2"/>
      <c r="D2" s="2"/>
      <c r="E2" s="2"/>
      <c r="F2" s="2"/>
      <c r="G2" s="2"/>
      <c r="H2" s="2"/>
      <c r="I2" s="3"/>
      <c r="J2" s="2"/>
      <c r="K2" s="3"/>
    </row>
    <row r="3" spans="1:13" ht="20" customHeight="1" thickBot="1">
      <c r="A3" s="623" t="s">
        <v>6</v>
      </c>
      <c r="B3" s="624"/>
      <c r="C3" s="625"/>
      <c r="D3" s="576" t="s">
        <v>1</v>
      </c>
      <c r="E3" s="577"/>
      <c r="F3" s="577"/>
      <c r="G3" s="577"/>
      <c r="H3" s="577"/>
      <c r="I3" s="577"/>
      <c r="J3" s="577"/>
      <c r="K3" s="578"/>
    </row>
    <row r="4" spans="1:13" ht="20" customHeight="1" thickBot="1">
      <c r="A4" s="626"/>
      <c r="B4" s="627"/>
      <c r="C4" s="628"/>
      <c r="D4" s="579" t="s">
        <v>398</v>
      </c>
      <c r="E4" s="580"/>
      <c r="F4" s="580"/>
      <c r="G4" s="580"/>
      <c r="H4" s="580"/>
      <c r="I4" s="580"/>
      <c r="J4" s="580"/>
      <c r="K4" s="581"/>
    </row>
    <row r="5" spans="1:13" ht="10.25" customHeight="1" thickBot="1">
      <c r="A5" s="4"/>
      <c r="B5" s="4"/>
      <c r="C5" s="4"/>
      <c r="D5" s="4"/>
      <c r="E5" s="4"/>
      <c r="F5" s="4"/>
      <c r="G5" s="4"/>
      <c r="H5" s="4"/>
      <c r="I5" s="5"/>
      <c r="J5" s="4"/>
      <c r="K5" s="5"/>
    </row>
    <row r="6" spans="1:13" ht="42" customHeight="1">
      <c r="A6" s="62" t="s">
        <v>7</v>
      </c>
      <c r="B6" s="599" t="s">
        <v>8</v>
      </c>
      <c r="C6" s="600"/>
      <c r="D6" s="600"/>
      <c r="E6" s="600"/>
      <c r="F6" s="600"/>
      <c r="G6" s="600"/>
      <c r="H6" s="600"/>
      <c r="I6" s="601"/>
      <c r="J6" s="611"/>
      <c r="K6" s="612"/>
      <c r="L6" s="244" t="s">
        <v>322</v>
      </c>
      <c r="M6" s="291" t="s">
        <v>10</v>
      </c>
    </row>
    <row r="7" spans="1:13" ht="20" customHeight="1">
      <c r="A7" s="63" t="s">
        <v>7</v>
      </c>
      <c r="B7" s="575" t="s">
        <v>171</v>
      </c>
      <c r="C7" s="470"/>
      <c r="D7" s="470"/>
      <c r="E7" s="470"/>
      <c r="F7" s="470"/>
      <c r="G7" s="470"/>
      <c r="H7" s="470"/>
      <c r="I7" s="471"/>
      <c r="J7" s="582" t="s">
        <v>203</v>
      </c>
      <c r="K7" s="583"/>
      <c r="L7" s="289" t="s">
        <v>323</v>
      </c>
      <c r="M7" s="289">
        <v>2025</v>
      </c>
    </row>
    <row r="8" spans="1:13" ht="20" customHeight="1">
      <c r="A8" s="63"/>
      <c r="B8" s="226"/>
      <c r="C8" s="227"/>
      <c r="D8" s="227"/>
      <c r="E8" s="227"/>
      <c r="F8" s="227"/>
      <c r="G8" s="227"/>
      <c r="H8" s="227"/>
      <c r="I8" s="228"/>
      <c r="J8" s="582" t="s">
        <v>301</v>
      </c>
      <c r="K8" s="583"/>
      <c r="L8" s="289" t="s">
        <v>323</v>
      </c>
      <c r="M8" s="289">
        <v>2025</v>
      </c>
    </row>
    <row r="9" spans="1:13" ht="20" customHeight="1">
      <c r="A9" s="63"/>
      <c r="B9" s="226"/>
      <c r="C9" s="227"/>
      <c r="D9" s="227"/>
      <c r="E9" s="227"/>
      <c r="F9" s="227"/>
      <c r="G9" s="227"/>
      <c r="H9" s="227"/>
      <c r="I9" s="228"/>
      <c r="J9" s="582" t="s">
        <v>300</v>
      </c>
      <c r="K9" s="583"/>
      <c r="L9" s="289" t="s">
        <v>323</v>
      </c>
      <c r="M9" s="289">
        <v>2025</v>
      </c>
    </row>
    <row r="10" spans="1:13" ht="20" customHeight="1">
      <c r="A10" s="63"/>
      <c r="B10" s="226"/>
      <c r="C10" s="227"/>
      <c r="D10" s="227"/>
      <c r="E10" s="227"/>
      <c r="F10" s="227"/>
      <c r="G10" s="227"/>
      <c r="H10" s="227"/>
      <c r="I10" s="228"/>
      <c r="J10" s="582" t="s">
        <v>302</v>
      </c>
      <c r="K10" s="583"/>
      <c r="L10" s="289" t="s">
        <v>397</v>
      </c>
      <c r="M10" s="289">
        <v>2025</v>
      </c>
    </row>
    <row r="11" spans="1:13" ht="15" customHeight="1" thickBot="1">
      <c r="A11" s="4"/>
      <c r="B11" s="4"/>
      <c r="C11" s="4"/>
      <c r="D11" s="4"/>
      <c r="E11" s="4"/>
      <c r="F11" s="4"/>
      <c r="G11" s="4"/>
      <c r="H11" s="4"/>
      <c r="I11" s="5"/>
      <c r="J11" s="4"/>
      <c r="K11" s="5"/>
    </row>
    <row r="12" spans="1:13" ht="18.75" customHeight="1" thickBot="1">
      <c r="A12" s="456" t="s">
        <v>17</v>
      </c>
      <c r="B12" s="483"/>
      <c r="C12" s="483"/>
      <c r="D12" s="483"/>
      <c r="E12" s="483"/>
      <c r="F12" s="483"/>
      <c r="G12" s="483"/>
      <c r="H12" s="483"/>
      <c r="I12" s="483"/>
      <c r="J12" s="483"/>
      <c r="K12" s="457"/>
    </row>
    <row r="13" spans="1:13" ht="15.5">
      <c r="A13" s="76" t="s">
        <v>7</v>
      </c>
      <c r="B13" s="615" t="s">
        <v>20</v>
      </c>
      <c r="C13" s="615"/>
      <c r="D13" s="615"/>
      <c r="E13" s="615"/>
      <c r="F13" s="615"/>
      <c r="G13" s="615"/>
      <c r="H13" s="615"/>
      <c r="I13" s="615"/>
      <c r="J13" s="469"/>
      <c r="K13" s="292">
        <v>1729.04</v>
      </c>
    </row>
    <row r="14" spans="1:13" ht="14.5">
      <c r="A14" s="76" t="s">
        <v>7</v>
      </c>
      <c r="B14" s="615" t="s">
        <v>24</v>
      </c>
      <c r="C14" s="615"/>
      <c r="D14" s="615"/>
      <c r="E14" s="615"/>
      <c r="F14" s="615"/>
      <c r="G14" s="615"/>
      <c r="H14" s="615"/>
      <c r="I14" s="615"/>
      <c r="J14" s="469"/>
      <c r="K14" s="352" t="s">
        <v>224</v>
      </c>
    </row>
    <row r="15" spans="1:13" ht="15" thickBot="1">
      <c r="A15" s="77" t="s">
        <v>7</v>
      </c>
      <c r="B15" s="621" t="s">
        <v>172</v>
      </c>
      <c r="C15" s="621"/>
      <c r="D15" s="621"/>
      <c r="E15" s="621"/>
      <c r="F15" s="621"/>
      <c r="G15" s="621"/>
      <c r="H15" s="621"/>
      <c r="I15" s="621"/>
      <c r="J15" s="622"/>
      <c r="K15" s="75">
        <v>1518</v>
      </c>
    </row>
    <row r="16" spans="1:13" ht="15" thickBot="1">
      <c r="A16" s="6"/>
      <c r="B16" s="4"/>
      <c r="C16" s="4"/>
      <c r="D16" s="4"/>
      <c r="E16" s="4"/>
      <c r="F16" s="4"/>
      <c r="G16" s="4"/>
      <c r="H16" s="4"/>
      <c r="I16" s="5"/>
      <c r="J16" s="4"/>
      <c r="K16" s="7"/>
    </row>
    <row r="17" spans="1:13" ht="20" customHeight="1" thickBot="1">
      <c r="A17" s="456" t="s">
        <v>25</v>
      </c>
      <c r="B17" s="483"/>
      <c r="C17" s="483"/>
      <c r="D17" s="483"/>
      <c r="E17" s="483"/>
      <c r="F17" s="483"/>
      <c r="G17" s="483"/>
      <c r="H17" s="483"/>
      <c r="I17" s="483"/>
      <c r="J17" s="484"/>
      <c r="K17" s="35" t="s">
        <v>26</v>
      </c>
    </row>
    <row r="18" spans="1:13" ht="20" customHeight="1">
      <c r="A18" s="16" t="s">
        <v>27</v>
      </c>
      <c r="B18" s="609" t="s">
        <v>28</v>
      </c>
      <c r="C18" s="609"/>
      <c r="D18" s="609"/>
      <c r="E18" s="609"/>
      <c r="F18" s="609"/>
      <c r="G18" s="609"/>
      <c r="H18" s="609"/>
      <c r="I18" s="609"/>
      <c r="J18" s="610"/>
      <c r="K18" s="52">
        <f>K13</f>
        <v>1729.04</v>
      </c>
    </row>
    <row r="19" spans="1:13" ht="20" customHeight="1">
      <c r="A19" s="14" t="s">
        <v>37</v>
      </c>
      <c r="B19" s="615" t="s">
        <v>29</v>
      </c>
      <c r="C19" s="615"/>
      <c r="D19" s="615"/>
      <c r="E19" s="615"/>
      <c r="F19" s="615"/>
      <c r="G19" s="615"/>
      <c r="H19" s="615"/>
      <c r="I19" s="615"/>
      <c r="J19" s="469"/>
      <c r="K19" s="30">
        <v>0</v>
      </c>
    </row>
    <row r="20" spans="1:13" ht="20" customHeight="1" thickBot="1">
      <c r="A20" s="22" t="s">
        <v>44</v>
      </c>
      <c r="B20" s="616" t="s">
        <v>31</v>
      </c>
      <c r="C20" s="616"/>
      <c r="D20" s="616"/>
      <c r="E20" s="616"/>
      <c r="F20" s="616"/>
      <c r="G20" s="616"/>
      <c r="H20" s="616"/>
      <c r="I20" s="616"/>
      <c r="J20" s="617"/>
      <c r="K20" s="53">
        <v>0</v>
      </c>
    </row>
    <row r="21" spans="1:13" ht="20" customHeight="1" thickBot="1">
      <c r="A21" s="618" t="s">
        <v>32</v>
      </c>
      <c r="B21" s="619"/>
      <c r="C21" s="619"/>
      <c r="D21" s="619"/>
      <c r="E21" s="619"/>
      <c r="F21" s="619"/>
      <c r="G21" s="619"/>
      <c r="H21" s="619"/>
      <c r="I21" s="619"/>
      <c r="J21" s="620"/>
      <c r="K21" s="54">
        <f>SUM(K18:K20)</f>
        <v>1729.04</v>
      </c>
    </row>
    <row r="22" spans="1:13" ht="15" thickBot="1">
      <c r="A22" s="4"/>
      <c r="B22" s="4"/>
      <c r="C22" s="4"/>
      <c r="D22" s="4"/>
      <c r="E22" s="4"/>
      <c r="F22" s="4"/>
      <c r="G22" s="4"/>
      <c r="H22" s="4"/>
      <c r="I22" s="4"/>
      <c r="J22" s="4"/>
      <c r="K22" s="8"/>
    </row>
    <row r="23" spans="1:13" ht="20" customHeight="1" thickBot="1">
      <c r="A23" s="541" t="s">
        <v>40</v>
      </c>
      <c r="B23" s="444"/>
      <c r="C23" s="444"/>
      <c r="D23" s="444"/>
      <c r="E23" s="444"/>
      <c r="F23" s="444"/>
      <c r="G23" s="444"/>
      <c r="H23" s="444"/>
      <c r="I23" s="444"/>
      <c r="J23" s="445"/>
      <c r="K23" s="29" t="s">
        <v>35</v>
      </c>
    </row>
    <row r="24" spans="1:13" ht="18.75" customHeight="1" thickBot="1">
      <c r="A24" s="73" t="s">
        <v>44</v>
      </c>
      <c r="B24" s="67" t="s">
        <v>45</v>
      </c>
      <c r="C24" s="68"/>
      <c r="D24" s="69" t="s">
        <v>46</v>
      </c>
      <c r="E24" s="70">
        <v>0.01</v>
      </c>
      <c r="F24" s="69" t="s">
        <v>47</v>
      </c>
      <c r="G24" s="71">
        <v>2</v>
      </c>
      <c r="H24" s="588"/>
      <c r="I24" s="589"/>
      <c r="J24" s="590"/>
      <c r="K24" s="72">
        <f>G24*E24</f>
        <v>0.02</v>
      </c>
    </row>
    <row r="25" spans="1:13" s="65" customFormat="1" ht="18.75" customHeight="1" thickBot="1">
      <c r="A25" s="584"/>
      <c r="B25" s="585"/>
      <c r="C25" s="585"/>
      <c r="D25" s="585"/>
      <c r="E25" s="585"/>
      <c r="F25" s="585"/>
      <c r="G25" s="585"/>
      <c r="H25" s="585"/>
      <c r="I25" s="585"/>
      <c r="J25" s="585"/>
      <c r="K25" s="585"/>
      <c r="L25" s="585"/>
      <c r="M25" s="585"/>
    </row>
    <row r="26" spans="1:13" ht="20" customHeight="1" thickBot="1">
      <c r="A26" s="456" t="s">
        <v>58</v>
      </c>
      <c r="B26" s="483"/>
      <c r="C26" s="483"/>
      <c r="D26" s="483"/>
      <c r="E26" s="483"/>
      <c r="F26" s="483"/>
      <c r="G26" s="483"/>
      <c r="H26" s="483"/>
      <c r="I26" s="483"/>
      <c r="J26" s="457"/>
      <c r="K26" s="74"/>
    </row>
    <row r="27" spans="1:13" ht="58.5" customHeight="1">
      <c r="A27" s="178" t="s">
        <v>27</v>
      </c>
      <c r="B27" s="591" t="s">
        <v>310</v>
      </c>
      <c r="C27" s="591"/>
      <c r="D27" s="591"/>
      <c r="E27" s="591"/>
      <c r="F27" s="591"/>
      <c r="G27" s="591"/>
      <c r="H27" s="591"/>
      <c r="I27" s="591"/>
      <c r="J27" s="592"/>
      <c r="K27" s="179"/>
    </row>
    <row r="28" spans="1:13" s="64" customFormat="1" ht="40.25" customHeight="1">
      <c r="A28" s="550" t="s">
        <v>293</v>
      </c>
      <c r="B28" s="551"/>
      <c r="C28" s="78" t="s">
        <v>175</v>
      </c>
      <c r="D28" s="78" t="s">
        <v>113</v>
      </c>
      <c r="E28" s="613" t="s">
        <v>174</v>
      </c>
      <c r="F28" s="614"/>
      <c r="G28" s="613" t="s">
        <v>173</v>
      </c>
      <c r="H28" s="614"/>
      <c r="I28" s="629" t="s">
        <v>185</v>
      </c>
      <c r="J28" s="614"/>
      <c r="K28" s="79" t="s">
        <v>177</v>
      </c>
    </row>
    <row r="29" spans="1:13" s="64" customFormat="1" ht="40.25" customHeight="1">
      <c r="A29" s="550" t="s">
        <v>294</v>
      </c>
      <c r="B29" s="551"/>
      <c r="C29" s="257">
        <v>2</v>
      </c>
      <c r="D29" s="258">
        <v>22</v>
      </c>
      <c r="E29" s="586">
        <v>10.71</v>
      </c>
      <c r="F29" s="587"/>
      <c r="G29" s="453">
        <f>C29*D29*E29</f>
        <v>471.24</v>
      </c>
      <c r="H29" s="453"/>
      <c r="I29" s="454">
        <f t="shared" ref="I29:I39" si="0">0.06*$K$13</f>
        <v>103.74239999999999</v>
      </c>
      <c r="J29" s="455"/>
      <c r="K29" s="259">
        <f t="shared" ref="K29:K39" si="1">IF(ROUND((C29*D29*E29)-I29,2)&lt;0,0,ROUND((C29*D29*E29)-I29,2))</f>
        <v>367.5</v>
      </c>
    </row>
    <row r="30" spans="1:13" s="64" customFormat="1" ht="40.25" customHeight="1">
      <c r="A30" s="550" t="s">
        <v>295</v>
      </c>
      <c r="B30" s="551"/>
      <c r="C30" s="257">
        <v>2</v>
      </c>
      <c r="D30" s="258">
        <v>22</v>
      </c>
      <c r="E30" s="586">
        <v>10.71</v>
      </c>
      <c r="F30" s="587"/>
      <c r="G30" s="453">
        <f t="shared" ref="G30:G40" si="2">C30*D30*E30</f>
        <v>471.24</v>
      </c>
      <c r="H30" s="453"/>
      <c r="I30" s="454">
        <f t="shared" si="0"/>
        <v>103.74239999999999</v>
      </c>
      <c r="J30" s="455"/>
      <c r="K30" s="259">
        <f t="shared" si="1"/>
        <v>367.5</v>
      </c>
    </row>
    <row r="31" spans="1:13" s="64" customFormat="1" ht="40.25" customHeight="1">
      <c r="A31" s="550" t="s">
        <v>296</v>
      </c>
      <c r="B31" s="551"/>
      <c r="C31" s="257">
        <v>2</v>
      </c>
      <c r="D31" s="258">
        <v>22</v>
      </c>
      <c r="E31" s="586">
        <v>10.71</v>
      </c>
      <c r="F31" s="587"/>
      <c r="G31" s="453">
        <f t="shared" si="2"/>
        <v>471.24</v>
      </c>
      <c r="H31" s="453"/>
      <c r="I31" s="454">
        <f t="shared" si="0"/>
        <v>103.74239999999999</v>
      </c>
      <c r="J31" s="455"/>
      <c r="K31" s="259">
        <f t="shared" si="1"/>
        <v>367.5</v>
      </c>
    </row>
    <row r="32" spans="1:13" s="64" customFormat="1" ht="40.25" customHeight="1">
      <c r="A32" s="550" t="s">
        <v>297</v>
      </c>
      <c r="B32" s="551"/>
      <c r="C32" s="257">
        <v>2</v>
      </c>
      <c r="D32" s="258">
        <v>22</v>
      </c>
      <c r="E32" s="586">
        <v>10.71</v>
      </c>
      <c r="F32" s="587"/>
      <c r="G32" s="453">
        <f t="shared" si="2"/>
        <v>471.24</v>
      </c>
      <c r="H32" s="453"/>
      <c r="I32" s="454">
        <f t="shared" si="0"/>
        <v>103.74239999999999</v>
      </c>
      <c r="J32" s="455"/>
      <c r="K32" s="259">
        <f t="shared" si="1"/>
        <v>367.5</v>
      </c>
    </row>
    <row r="33" spans="1:26" s="64" customFormat="1" ht="40.25" customHeight="1">
      <c r="A33" s="550" t="s">
        <v>298</v>
      </c>
      <c r="B33" s="551"/>
      <c r="C33" s="257">
        <v>2</v>
      </c>
      <c r="D33" s="328">
        <v>22</v>
      </c>
      <c r="E33" s="586">
        <v>10.71</v>
      </c>
      <c r="F33" s="587"/>
      <c r="G33" s="453">
        <f t="shared" ref="G33:G35" si="3">C33*D33*E33</f>
        <v>471.24</v>
      </c>
      <c r="H33" s="453"/>
      <c r="I33" s="454">
        <f t="shared" si="0"/>
        <v>103.74239999999999</v>
      </c>
      <c r="J33" s="455"/>
      <c r="K33" s="259">
        <f t="shared" si="1"/>
        <v>367.5</v>
      </c>
    </row>
    <row r="34" spans="1:26" s="64" customFormat="1" ht="40.25" customHeight="1">
      <c r="A34" s="550" t="s">
        <v>343</v>
      </c>
      <c r="B34" s="551"/>
      <c r="C34" s="257">
        <v>2</v>
      </c>
      <c r="D34" s="328">
        <v>22</v>
      </c>
      <c r="E34" s="586">
        <v>10.71</v>
      </c>
      <c r="F34" s="587"/>
      <c r="G34" s="453">
        <f t="shared" si="3"/>
        <v>471.24</v>
      </c>
      <c r="H34" s="453"/>
      <c r="I34" s="454">
        <f t="shared" si="0"/>
        <v>103.74239999999999</v>
      </c>
      <c r="J34" s="455"/>
      <c r="K34" s="259">
        <f t="shared" si="1"/>
        <v>367.5</v>
      </c>
    </row>
    <row r="35" spans="1:26" s="64" customFormat="1" ht="40.25" customHeight="1">
      <c r="A35" s="550" t="s">
        <v>344</v>
      </c>
      <c r="B35" s="551"/>
      <c r="C35" s="257">
        <v>2</v>
      </c>
      <c r="D35" s="328">
        <v>22</v>
      </c>
      <c r="E35" s="586">
        <v>10.71</v>
      </c>
      <c r="F35" s="587"/>
      <c r="G35" s="453">
        <f t="shared" si="3"/>
        <v>471.24</v>
      </c>
      <c r="H35" s="453"/>
      <c r="I35" s="454">
        <f t="shared" si="0"/>
        <v>103.74239999999999</v>
      </c>
      <c r="J35" s="455"/>
      <c r="K35" s="259">
        <f t="shared" si="1"/>
        <v>367.5</v>
      </c>
    </row>
    <row r="36" spans="1:26" s="64" customFormat="1" ht="40.25" customHeight="1">
      <c r="A36" s="550" t="s">
        <v>345</v>
      </c>
      <c r="B36" s="551"/>
      <c r="C36" s="257">
        <v>2</v>
      </c>
      <c r="D36" s="258">
        <v>22</v>
      </c>
      <c r="E36" s="586">
        <v>10.71</v>
      </c>
      <c r="F36" s="587"/>
      <c r="G36" s="453">
        <f t="shared" si="2"/>
        <v>471.24</v>
      </c>
      <c r="H36" s="453"/>
      <c r="I36" s="454">
        <f t="shared" si="0"/>
        <v>103.74239999999999</v>
      </c>
      <c r="J36" s="455"/>
      <c r="K36" s="259">
        <f t="shared" si="1"/>
        <v>367.5</v>
      </c>
    </row>
    <row r="37" spans="1:26" s="64" customFormat="1" ht="40.25" customHeight="1">
      <c r="A37" s="550" t="s">
        <v>346</v>
      </c>
      <c r="B37" s="551"/>
      <c r="C37" s="257">
        <v>2</v>
      </c>
      <c r="D37" s="258">
        <v>22</v>
      </c>
      <c r="E37" s="586">
        <v>6.5</v>
      </c>
      <c r="F37" s="587"/>
      <c r="G37" s="453">
        <f t="shared" si="2"/>
        <v>286</v>
      </c>
      <c r="H37" s="453"/>
      <c r="I37" s="454">
        <f t="shared" si="0"/>
        <v>103.74239999999999</v>
      </c>
      <c r="J37" s="455"/>
      <c r="K37" s="259">
        <f t="shared" si="1"/>
        <v>182.26</v>
      </c>
    </row>
    <row r="38" spans="1:26" s="64" customFormat="1" ht="40.25" customHeight="1">
      <c r="A38" s="630" t="s">
        <v>347</v>
      </c>
      <c r="B38" s="631"/>
      <c r="C38" s="257">
        <v>2</v>
      </c>
      <c r="D38" s="258">
        <v>22</v>
      </c>
      <c r="E38" s="586">
        <v>6.5</v>
      </c>
      <c r="F38" s="587"/>
      <c r="G38" s="453">
        <f t="shared" si="2"/>
        <v>286</v>
      </c>
      <c r="H38" s="453"/>
      <c r="I38" s="454">
        <f t="shared" si="0"/>
        <v>103.74239999999999</v>
      </c>
      <c r="J38" s="455"/>
      <c r="K38" s="259">
        <f t="shared" si="1"/>
        <v>182.26</v>
      </c>
    </row>
    <row r="39" spans="1:26" s="64" customFormat="1" ht="40.25" customHeight="1">
      <c r="A39" s="550" t="s">
        <v>348</v>
      </c>
      <c r="B39" s="551"/>
      <c r="C39" s="257">
        <v>2</v>
      </c>
      <c r="D39" s="258">
        <v>22</v>
      </c>
      <c r="E39" s="586">
        <v>6.2</v>
      </c>
      <c r="F39" s="587"/>
      <c r="G39" s="453">
        <f t="shared" si="2"/>
        <v>272.8</v>
      </c>
      <c r="H39" s="453"/>
      <c r="I39" s="454">
        <f t="shared" si="0"/>
        <v>103.74239999999999</v>
      </c>
      <c r="J39" s="455"/>
      <c r="K39" s="259">
        <f t="shared" si="1"/>
        <v>169.06</v>
      </c>
    </row>
    <row r="40" spans="1:26" s="64" customFormat="1" ht="38" customHeight="1" thickBot="1">
      <c r="A40" s="604" t="s">
        <v>349</v>
      </c>
      <c r="B40" s="605"/>
      <c r="C40" s="257">
        <v>2</v>
      </c>
      <c r="D40" s="258">
        <v>22</v>
      </c>
      <c r="E40" s="586">
        <v>6</v>
      </c>
      <c r="F40" s="587"/>
      <c r="G40" s="453">
        <f t="shared" si="2"/>
        <v>264</v>
      </c>
      <c r="H40" s="453"/>
      <c r="I40" s="454">
        <f>0.06*$K$13</f>
        <v>103.74239999999999</v>
      </c>
      <c r="J40" s="455"/>
      <c r="K40" s="259">
        <f>IF(ROUND((C40*D40*E40)-I40,2)&lt;0,0,ROUND((C40*D40*E40)-I40,2))</f>
        <v>160.26</v>
      </c>
    </row>
    <row r="41" spans="1:26" ht="20" customHeight="1" thickBot="1">
      <c r="A41" s="229"/>
      <c r="B41" s="229"/>
      <c r="C41" s="229"/>
      <c r="D41" s="229"/>
      <c r="E41" s="229"/>
      <c r="F41" s="229"/>
      <c r="G41" s="229"/>
      <c r="H41" s="229"/>
      <c r="I41" s="229"/>
      <c r="J41" s="229"/>
      <c r="K41" s="229"/>
      <c r="L41" s="270"/>
      <c r="M41" s="270"/>
      <c r="N41" s="229"/>
      <c r="O41" s="229"/>
      <c r="P41" s="229"/>
      <c r="Q41" s="333"/>
      <c r="R41" s="333"/>
      <c r="S41" s="333"/>
      <c r="T41" s="333"/>
      <c r="U41" s="333"/>
      <c r="V41" s="333"/>
      <c r="W41" s="229"/>
      <c r="X41" s="229"/>
      <c r="Y41" s="229"/>
      <c r="Z41" s="269"/>
    </row>
    <row r="42" spans="1:26" ht="20" customHeight="1" thickBot="1">
      <c r="A42" s="456" t="s">
        <v>58</v>
      </c>
      <c r="B42" s="483"/>
      <c r="C42" s="483"/>
      <c r="D42" s="483"/>
      <c r="E42" s="483"/>
      <c r="F42" s="483"/>
      <c r="G42" s="483"/>
      <c r="H42" s="483"/>
      <c r="I42" s="483"/>
      <c r="J42" s="484"/>
      <c r="K42" s="272" t="s">
        <v>26</v>
      </c>
      <c r="L42" s="270"/>
      <c r="M42" s="270"/>
      <c r="N42" s="270"/>
      <c r="O42" s="270"/>
      <c r="P42" s="270"/>
      <c r="Q42" s="270"/>
      <c r="R42" s="270"/>
      <c r="S42" s="270"/>
      <c r="T42" s="270"/>
      <c r="U42" s="270"/>
      <c r="V42" s="270"/>
      <c r="W42" s="270"/>
      <c r="X42" s="270"/>
      <c r="Y42" s="270"/>
      <c r="Z42" s="269"/>
    </row>
    <row r="43" spans="1:26" ht="20" customHeight="1">
      <c r="A43" s="25" t="s">
        <v>37</v>
      </c>
      <c r="B43" s="602" t="s">
        <v>159</v>
      </c>
      <c r="C43" s="602"/>
      <c r="D43" s="602"/>
      <c r="E43" s="602"/>
      <c r="F43" s="602"/>
      <c r="G43" s="602"/>
      <c r="H43" s="602"/>
      <c r="I43" s="602"/>
      <c r="J43" s="603"/>
      <c r="K43" s="273">
        <v>144.68</v>
      </c>
      <c r="L43" s="271"/>
      <c r="M43" s="271"/>
      <c r="N43" s="271"/>
      <c r="O43" s="271"/>
      <c r="P43" s="271"/>
      <c r="Q43" s="271"/>
      <c r="R43" s="271"/>
      <c r="S43" s="271"/>
      <c r="T43" s="271"/>
      <c r="U43" s="271"/>
      <c r="V43" s="271"/>
      <c r="W43" s="271"/>
      <c r="X43" s="271"/>
      <c r="Y43" s="271"/>
      <c r="Z43" s="269"/>
    </row>
    <row r="44" spans="1:26" ht="20" customHeight="1">
      <c r="A44" s="26" t="s">
        <v>44</v>
      </c>
      <c r="B44" s="516" t="s">
        <v>160</v>
      </c>
      <c r="C44" s="516"/>
      <c r="D44" s="516"/>
      <c r="E44" s="516"/>
      <c r="F44" s="516"/>
      <c r="G44" s="516"/>
      <c r="H44" s="516"/>
      <c r="I44" s="516"/>
      <c r="J44" s="517"/>
      <c r="K44" s="274">
        <f>ROUND((J45-J47)*J46,2)</f>
        <v>426.14</v>
      </c>
      <c r="L44" s="271"/>
      <c r="M44" s="271"/>
      <c r="N44" s="271"/>
      <c r="O44" s="271"/>
      <c r="P44" s="271"/>
      <c r="Q44" s="271"/>
      <c r="R44" s="271"/>
      <c r="S44" s="271"/>
      <c r="T44" s="271"/>
      <c r="U44" s="271"/>
      <c r="V44" s="271"/>
      <c r="W44" s="271"/>
      <c r="X44" s="271"/>
      <c r="Y44" s="271"/>
      <c r="Z44" s="269"/>
    </row>
    <row r="45" spans="1:26" ht="20" customHeight="1">
      <c r="A45" s="14"/>
      <c r="B45" s="513" t="s">
        <v>156</v>
      </c>
      <c r="C45" s="514"/>
      <c r="D45" s="514"/>
      <c r="E45" s="514"/>
      <c r="F45" s="514"/>
      <c r="G45" s="514"/>
      <c r="H45" s="514"/>
      <c r="I45" s="515"/>
      <c r="J45" s="27">
        <v>20.76</v>
      </c>
      <c r="K45" s="597"/>
      <c r="L45" s="269"/>
      <c r="M45" s="269"/>
      <c r="N45" s="269"/>
      <c r="O45" s="269"/>
      <c r="P45" s="269"/>
      <c r="Q45" s="269"/>
      <c r="R45" s="269"/>
      <c r="S45" s="269"/>
      <c r="T45" s="269"/>
      <c r="U45" s="269"/>
      <c r="V45" s="269"/>
      <c r="W45" s="269"/>
      <c r="X45" s="269"/>
      <c r="Y45" s="269"/>
      <c r="Z45" s="269"/>
    </row>
    <row r="46" spans="1:26" ht="20" customHeight="1">
      <c r="A46" s="14"/>
      <c r="B46" s="513" t="s">
        <v>157</v>
      </c>
      <c r="C46" s="514"/>
      <c r="D46" s="514"/>
      <c r="E46" s="514"/>
      <c r="F46" s="514"/>
      <c r="G46" s="514"/>
      <c r="H46" s="514"/>
      <c r="I46" s="515"/>
      <c r="J46" s="113">
        <v>22</v>
      </c>
      <c r="K46" s="597"/>
      <c r="L46" s="265"/>
      <c r="M46" s="265"/>
      <c r="N46" s="265"/>
      <c r="O46" s="265"/>
      <c r="P46" s="265"/>
      <c r="Q46" s="265"/>
      <c r="R46" s="265"/>
      <c r="S46" s="265"/>
      <c r="T46" s="265"/>
      <c r="U46" s="265"/>
      <c r="V46" s="265"/>
      <c r="W46" s="265"/>
      <c r="X46" s="265"/>
      <c r="Y46" s="265"/>
    </row>
    <row r="47" spans="1:26" ht="20" customHeight="1">
      <c r="A47" s="14"/>
      <c r="B47" s="513" t="s">
        <v>158</v>
      </c>
      <c r="C47" s="514"/>
      <c r="D47" s="514"/>
      <c r="E47" s="514"/>
      <c r="F47" s="514"/>
      <c r="G47" s="514"/>
      <c r="H47" s="514"/>
      <c r="I47" s="515"/>
      <c r="J47" s="27">
        <v>1.39</v>
      </c>
      <c r="K47" s="597"/>
      <c r="L47" s="265"/>
      <c r="M47" s="265"/>
      <c r="N47" s="265"/>
      <c r="O47" s="265"/>
      <c r="P47" s="265"/>
      <c r="Q47" s="265"/>
      <c r="R47" s="265"/>
      <c r="S47" s="265"/>
      <c r="T47" s="265"/>
      <c r="U47" s="265"/>
      <c r="V47" s="265"/>
      <c r="W47" s="265"/>
      <c r="X47" s="265"/>
      <c r="Y47" s="265"/>
    </row>
    <row r="48" spans="1:26" ht="20" customHeight="1">
      <c r="A48" s="26" t="s">
        <v>30</v>
      </c>
      <c r="B48" s="516" t="s">
        <v>163</v>
      </c>
      <c r="C48" s="516"/>
      <c r="D48" s="516"/>
      <c r="E48" s="516"/>
      <c r="F48" s="516"/>
      <c r="G48" s="516"/>
      <c r="H48" s="516"/>
      <c r="I48" s="516"/>
      <c r="J48" s="517"/>
      <c r="K48" s="42">
        <v>35.33</v>
      </c>
      <c r="L48" s="265"/>
      <c r="M48" s="265"/>
      <c r="N48" s="265"/>
      <c r="O48" s="265"/>
      <c r="P48" s="265"/>
      <c r="Q48" s="265"/>
      <c r="R48" s="265"/>
      <c r="S48" s="265"/>
      <c r="T48" s="265"/>
      <c r="U48" s="265"/>
      <c r="V48" s="265"/>
      <c r="W48" s="265"/>
      <c r="X48" s="265"/>
      <c r="Y48" s="265"/>
    </row>
    <row r="49" spans="1:25" ht="20" customHeight="1">
      <c r="A49" s="26" t="s">
        <v>49</v>
      </c>
      <c r="B49" s="516" t="s">
        <v>164</v>
      </c>
      <c r="C49" s="516"/>
      <c r="D49" s="516"/>
      <c r="E49" s="516"/>
      <c r="F49" s="516"/>
      <c r="G49" s="516"/>
      <c r="H49" s="516"/>
      <c r="I49" s="516"/>
      <c r="J49" s="517"/>
      <c r="K49" s="31">
        <f>J50*J51</f>
        <v>13.661999999999999</v>
      </c>
      <c r="L49" s="265"/>
      <c r="M49" s="265"/>
      <c r="N49" s="265"/>
      <c r="O49" s="265"/>
      <c r="P49" s="265"/>
      <c r="Q49" s="265"/>
      <c r="R49" s="265"/>
      <c r="S49" s="265"/>
      <c r="T49" s="265"/>
      <c r="U49" s="265"/>
      <c r="V49" s="265"/>
      <c r="W49" s="265"/>
      <c r="X49" s="265"/>
      <c r="Y49" s="265"/>
    </row>
    <row r="50" spans="1:25" ht="20" customHeight="1">
      <c r="A50" s="26"/>
      <c r="B50" s="513" t="s">
        <v>176</v>
      </c>
      <c r="C50" s="514"/>
      <c r="D50" s="514"/>
      <c r="E50" s="514"/>
      <c r="F50" s="514"/>
      <c r="G50" s="514"/>
      <c r="H50" s="514"/>
      <c r="I50" s="515"/>
      <c r="J50" s="28">
        <f>0.3*$K$15</f>
        <v>455.4</v>
      </c>
      <c r="K50" s="595"/>
      <c r="L50" s="265"/>
      <c r="M50" s="265"/>
      <c r="N50" s="265"/>
      <c r="O50" s="265"/>
      <c r="P50" s="265"/>
      <c r="Q50" s="265"/>
      <c r="R50" s="265"/>
      <c r="S50" s="265"/>
      <c r="T50" s="265"/>
      <c r="U50" s="265"/>
      <c r="V50" s="265"/>
      <c r="W50" s="265"/>
      <c r="X50" s="265"/>
      <c r="Y50" s="265"/>
    </row>
    <row r="51" spans="1:25" ht="20" customHeight="1">
      <c r="A51" s="26"/>
      <c r="B51" s="513" t="s">
        <v>186</v>
      </c>
      <c r="C51" s="514"/>
      <c r="D51" s="514"/>
      <c r="E51" s="514"/>
      <c r="F51" s="514"/>
      <c r="G51" s="514"/>
      <c r="H51" s="514"/>
      <c r="I51" s="515"/>
      <c r="J51" s="43">
        <v>0.03</v>
      </c>
      <c r="K51" s="596"/>
      <c r="L51" s="265"/>
      <c r="M51" s="265"/>
      <c r="N51" s="265"/>
      <c r="O51" s="265"/>
      <c r="P51" s="265"/>
      <c r="Q51" s="265"/>
      <c r="R51" s="265"/>
      <c r="S51" s="265"/>
      <c r="T51" s="265"/>
      <c r="U51" s="265"/>
      <c r="V51" s="265"/>
      <c r="W51" s="265"/>
      <c r="X51" s="265"/>
      <c r="Y51" s="265"/>
    </row>
    <row r="52" spans="1:25" ht="20" customHeight="1">
      <c r="A52" s="26" t="s">
        <v>51</v>
      </c>
      <c r="B52" s="516" t="s">
        <v>165</v>
      </c>
      <c r="C52" s="516"/>
      <c r="D52" s="516"/>
      <c r="E52" s="516"/>
      <c r="F52" s="516"/>
      <c r="G52" s="516"/>
      <c r="H52" s="516"/>
      <c r="I52" s="516"/>
      <c r="J52" s="517"/>
      <c r="K52" s="44">
        <f>J53-J54</f>
        <v>12.474</v>
      </c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  <c r="X52" s="265"/>
      <c r="Y52" s="265"/>
    </row>
    <row r="53" spans="1:25" ht="20" customHeight="1">
      <c r="A53" s="26"/>
      <c r="B53" s="469" t="s">
        <v>161</v>
      </c>
      <c r="C53" s="470"/>
      <c r="D53" s="470"/>
      <c r="E53" s="470"/>
      <c r="F53" s="470"/>
      <c r="G53" s="470"/>
      <c r="H53" s="470"/>
      <c r="I53" s="471"/>
      <c r="J53" s="27">
        <v>13.86</v>
      </c>
      <c r="K53" s="593"/>
      <c r="L53" s="265"/>
      <c r="M53" s="265"/>
      <c r="N53" s="265"/>
      <c r="O53" s="265"/>
      <c r="P53" s="265"/>
      <c r="Q53" s="265"/>
      <c r="R53" s="265"/>
      <c r="S53" s="265"/>
      <c r="T53" s="265"/>
      <c r="U53" s="265"/>
      <c r="V53" s="265"/>
      <c r="W53" s="265"/>
      <c r="X53" s="265"/>
      <c r="Y53" s="265"/>
    </row>
    <row r="54" spans="1:25" ht="20" customHeight="1">
      <c r="A54" s="26"/>
      <c r="B54" s="469" t="s">
        <v>162</v>
      </c>
      <c r="C54" s="470"/>
      <c r="D54" s="470"/>
      <c r="E54" s="470"/>
      <c r="F54" s="470"/>
      <c r="G54" s="470"/>
      <c r="H54" s="470"/>
      <c r="I54" s="471"/>
      <c r="J54" s="28">
        <f>0.1*J53</f>
        <v>1.3860000000000001</v>
      </c>
      <c r="K54" s="594"/>
      <c r="L54" s="265"/>
      <c r="M54" s="265"/>
      <c r="N54" s="265"/>
      <c r="O54" s="265"/>
      <c r="P54" s="265"/>
      <c r="Q54" s="265"/>
      <c r="R54" s="265"/>
      <c r="S54" s="265"/>
      <c r="T54" s="265"/>
      <c r="U54" s="265"/>
      <c r="V54" s="265"/>
      <c r="W54" s="265"/>
      <c r="X54" s="265"/>
      <c r="Y54" s="265"/>
    </row>
    <row r="55" spans="1:25" ht="20" customHeight="1">
      <c r="A55" s="26" t="s">
        <v>53</v>
      </c>
      <c r="B55" s="516" t="s">
        <v>222</v>
      </c>
      <c r="C55" s="516"/>
      <c r="D55" s="516"/>
      <c r="E55" s="516"/>
      <c r="F55" s="516"/>
      <c r="G55" s="516"/>
      <c r="H55" s="516"/>
      <c r="I55" s="516"/>
      <c r="J55" s="517"/>
      <c r="K55" s="42">
        <v>15.96</v>
      </c>
      <c r="L55" s="265"/>
      <c r="M55" s="265"/>
      <c r="N55" s="265"/>
      <c r="O55" s="265"/>
      <c r="P55" s="265"/>
      <c r="Q55" s="265"/>
      <c r="R55" s="265"/>
      <c r="S55" s="265"/>
      <c r="T55" s="265"/>
      <c r="U55" s="265"/>
      <c r="V55" s="265"/>
      <c r="W55" s="265"/>
      <c r="X55" s="265"/>
      <c r="Y55" s="265"/>
    </row>
    <row r="56" spans="1:25" ht="20" customHeight="1" thickBot="1">
      <c r="A56" s="26" t="s">
        <v>55</v>
      </c>
      <c r="B56" s="211" t="s">
        <v>226</v>
      </c>
      <c r="C56" s="211"/>
      <c r="D56" s="211"/>
      <c r="E56" s="211"/>
      <c r="F56" s="211"/>
      <c r="G56" s="211"/>
      <c r="H56" s="211"/>
      <c r="I56" s="546">
        <v>20.76</v>
      </c>
      <c r="J56" s="547"/>
      <c r="K56" s="44">
        <f>I56/12</f>
        <v>1.7300000000000002</v>
      </c>
      <c r="L56" s="265"/>
      <c r="M56" s="265"/>
      <c r="N56" s="265"/>
      <c r="O56" s="265"/>
      <c r="P56" s="265"/>
      <c r="Q56" s="265"/>
      <c r="R56" s="265"/>
      <c r="S56" s="265"/>
      <c r="T56" s="265"/>
      <c r="U56" s="265"/>
      <c r="V56" s="265"/>
      <c r="W56" s="265"/>
      <c r="X56" s="265"/>
      <c r="Y56" s="265"/>
    </row>
    <row r="57" spans="1:25" ht="82.5" customHeight="1" thickBot="1">
      <c r="A57" s="10" t="s">
        <v>138</v>
      </c>
      <c r="B57" s="518" t="s">
        <v>403</v>
      </c>
      <c r="C57" s="519"/>
      <c r="D57" s="519"/>
      <c r="E57" s="519"/>
      <c r="F57" s="520"/>
      <c r="G57" s="42">
        <v>300</v>
      </c>
      <c r="H57" s="424" t="s">
        <v>404</v>
      </c>
      <c r="I57" s="423">
        <v>12</v>
      </c>
      <c r="J57" s="425" t="s">
        <v>405</v>
      </c>
      <c r="K57" s="426">
        <f>(G57*I57)/12</f>
        <v>300</v>
      </c>
      <c r="L57" s="427" t="s">
        <v>408</v>
      </c>
      <c r="M57" s="265"/>
      <c r="N57" s="265"/>
      <c r="O57" s="265"/>
      <c r="P57" s="265"/>
      <c r="Q57" s="265"/>
      <c r="R57" s="265"/>
      <c r="S57" s="265"/>
      <c r="T57" s="265"/>
      <c r="U57" s="265"/>
      <c r="V57" s="265"/>
      <c r="W57" s="265"/>
      <c r="X57" s="265"/>
      <c r="Y57" s="265"/>
    </row>
    <row r="58" spans="1:25" ht="20" customHeight="1" thickBot="1">
      <c r="A58" s="4"/>
      <c r="B58" s="4"/>
      <c r="C58" s="4"/>
      <c r="D58" s="4"/>
      <c r="E58" s="4"/>
      <c r="F58" s="4"/>
      <c r="G58" s="4"/>
      <c r="H58" s="4"/>
      <c r="I58" s="5"/>
      <c r="J58" s="4"/>
      <c r="K58" s="5"/>
    </row>
    <row r="59" spans="1:25" ht="20" customHeight="1">
      <c r="A59" s="500" t="s">
        <v>63</v>
      </c>
      <c r="B59" s="501"/>
      <c r="C59" s="501"/>
      <c r="D59" s="501"/>
      <c r="E59" s="501"/>
      <c r="F59" s="501"/>
      <c r="G59" s="501"/>
      <c r="H59" s="501"/>
      <c r="I59" s="501"/>
      <c r="J59" s="156" t="s">
        <v>35</v>
      </c>
    </row>
    <row r="60" spans="1:25" ht="20" customHeight="1" thickBot="1">
      <c r="A60" s="15" t="s">
        <v>27</v>
      </c>
      <c r="B60" s="502" t="s">
        <v>64</v>
      </c>
      <c r="C60" s="502"/>
      <c r="D60" s="502"/>
      <c r="E60" s="502"/>
      <c r="F60" s="503" t="s">
        <v>65</v>
      </c>
      <c r="G60" s="503"/>
      <c r="H60" s="157">
        <v>0.05</v>
      </c>
      <c r="I60" s="158"/>
      <c r="J60" s="159">
        <f>1/12*H60</f>
        <v>4.1666666666666666E-3</v>
      </c>
      <c r="K60" s="155"/>
      <c r="L60" s="47"/>
    </row>
    <row r="61" spans="1:25" ht="20" customHeight="1">
      <c r="A61" s="459"/>
      <c r="B61" s="459"/>
      <c r="C61" s="459"/>
      <c r="D61" s="459"/>
      <c r="E61" s="459"/>
      <c r="F61" s="459"/>
      <c r="G61" s="459"/>
      <c r="H61" s="459"/>
      <c r="I61" s="459"/>
      <c r="J61" s="459"/>
      <c r="K61" s="459"/>
    </row>
    <row r="62" spans="1:25" ht="20" customHeight="1" thickBot="1">
      <c r="A62" s="507" t="s">
        <v>72</v>
      </c>
      <c r="B62" s="508"/>
      <c r="C62" s="508"/>
      <c r="D62" s="508"/>
      <c r="E62" s="508"/>
      <c r="F62" s="508"/>
      <c r="G62" s="508"/>
      <c r="H62" s="508"/>
      <c r="I62" s="508"/>
      <c r="J62" s="509"/>
    </row>
    <row r="63" spans="1:25" ht="20" customHeight="1" thickBot="1">
      <c r="A63" s="504" t="s">
        <v>271</v>
      </c>
      <c r="B63" s="505"/>
      <c r="C63" s="505"/>
      <c r="D63" s="505"/>
      <c r="E63" s="505"/>
      <c r="F63" s="505"/>
      <c r="G63" s="505"/>
      <c r="H63" s="505"/>
      <c r="I63" s="505"/>
      <c r="J63" s="506"/>
    </row>
    <row r="64" spans="1:25" ht="20" customHeight="1">
      <c r="A64" s="25" t="s">
        <v>27</v>
      </c>
      <c r="B64" s="527"/>
      <c r="C64" s="528"/>
      <c r="D64" s="529"/>
      <c r="E64" s="525" t="s">
        <v>178</v>
      </c>
      <c r="F64" s="526"/>
      <c r="G64" s="525" t="s">
        <v>179</v>
      </c>
      <c r="H64" s="598"/>
      <c r="I64" s="526"/>
      <c r="J64" s="93" t="s">
        <v>35</v>
      </c>
    </row>
    <row r="65" spans="1:13" ht="20" customHeight="1">
      <c r="A65" s="26" t="s">
        <v>37</v>
      </c>
      <c r="B65" s="469" t="s">
        <v>74</v>
      </c>
      <c r="C65" s="470"/>
      <c r="D65" s="471"/>
      <c r="E65" s="472">
        <v>3</v>
      </c>
      <c r="F65" s="474"/>
      <c r="G65" s="475">
        <v>1</v>
      </c>
      <c r="H65" s="476"/>
      <c r="I65" s="477"/>
      <c r="J65" s="94">
        <f>E65/30/12*G65</f>
        <v>8.3333333333333332E-3</v>
      </c>
    </row>
    <row r="66" spans="1:13" ht="20" customHeight="1">
      <c r="A66" s="26" t="s">
        <v>44</v>
      </c>
      <c r="B66" s="469" t="s">
        <v>75</v>
      </c>
      <c r="C66" s="470"/>
      <c r="D66" s="471"/>
      <c r="E66" s="472">
        <v>5</v>
      </c>
      <c r="F66" s="473"/>
      <c r="G66" s="510">
        <v>0.01</v>
      </c>
      <c r="H66" s="511"/>
      <c r="I66" s="512"/>
      <c r="J66" s="94">
        <f>E66/30/12*G66</f>
        <v>1.3888888888888889E-4</v>
      </c>
    </row>
    <row r="67" spans="1:13" ht="20" customHeight="1">
      <c r="A67" s="26" t="s">
        <v>30</v>
      </c>
      <c r="B67" s="469" t="s">
        <v>76</v>
      </c>
      <c r="C67" s="470"/>
      <c r="D67" s="471"/>
      <c r="E67" s="472">
        <v>1</v>
      </c>
      <c r="F67" s="473"/>
      <c r="G67" s="510">
        <v>1</v>
      </c>
      <c r="H67" s="511"/>
      <c r="I67" s="512"/>
      <c r="J67" s="94">
        <f>E67/30/12*G67</f>
        <v>2.7777777777777779E-3</v>
      </c>
      <c r="K67" s="89"/>
    </row>
    <row r="68" spans="1:13" ht="20" customHeight="1">
      <c r="A68" s="26" t="s">
        <v>49</v>
      </c>
      <c r="B68" s="469" t="s">
        <v>77</v>
      </c>
      <c r="C68" s="470"/>
      <c r="D68" s="471"/>
      <c r="E68" s="472">
        <v>120</v>
      </c>
      <c r="F68" s="473"/>
      <c r="G68" s="510">
        <v>0.02</v>
      </c>
      <c r="H68" s="511"/>
      <c r="I68" s="512"/>
      <c r="J68" s="94">
        <f>E68/30/12*G68</f>
        <v>6.6666666666666662E-3</v>
      </c>
    </row>
    <row r="69" spans="1:13" ht="20" customHeight="1">
      <c r="A69" s="26" t="s">
        <v>51</v>
      </c>
      <c r="B69" s="469" t="s">
        <v>78</v>
      </c>
      <c r="C69" s="470"/>
      <c r="D69" s="471"/>
      <c r="E69" s="472">
        <v>3</v>
      </c>
      <c r="F69" s="473"/>
      <c r="G69" s="475">
        <v>1</v>
      </c>
      <c r="H69" s="476"/>
      <c r="I69" s="477"/>
      <c r="J69" s="94">
        <f>E69/30/12*G69</f>
        <v>8.3333333333333332E-3</v>
      </c>
    </row>
    <row r="70" spans="1:13" ht="20" customHeight="1" thickBot="1">
      <c r="A70" s="10" t="s">
        <v>53</v>
      </c>
      <c r="B70" s="567" t="s">
        <v>79</v>
      </c>
      <c r="C70" s="461"/>
      <c r="D70" s="462"/>
      <c r="E70" s="553"/>
      <c r="F70" s="554"/>
      <c r="G70" s="538"/>
      <c r="H70" s="539"/>
      <c r="I70" s="540"/>
      <c r="J70" s="95"/>
    </row>
    <row r="71" spans="1:13" ht="20" customHeight="1" thickBot="1">
      <c r="A71" s="533"/>
      <c r="B71" s="534"/>
      <c r="C71" s="534"/>
      <c r="D71" s="534"/>
      <c r="E71" s="534"/>
      <c r="F71" s="534"/>
      <c r="G71" s="534"/>
      <c r="H71" s="534"/>
      <c r="I71" s="534"/>
      <c r="J71" s="534"/>
      <c r="K71" s="534"/>
      <c r="L71" s="534"/>
      <c r="M71" s="534"/>
    </row>
    <row r="72" spans="1:13" ht="20" customHeight="1">
      <c r="A72" s="558" t="s">
        <v>303</v>
      </c>
      <c r="B72" s="570"/>
      <c r="C72" s="570"/>
      <c r="D72" s="570"/>
      <c r="E72" s="570"/>
      <c r="F72" s="570"/>
      <c r="G72" s="570"/>
      <c r="H72" s="570"/>
      <c r="I72" s="570"/>
      <c r="J72" s="571"/>
    </row>
    <row r="73" spans="1:13" ht="20" customHeight="1" thickBot="1">
      <c r="A73" s="479"/>
      <c r="B73" s="480"/>
      <c r="C73" s="480"/>
      <c r="D73" s="480"/>
      <c r="E73" s="480"/>
      <c r="F73" s="480"/>
      <c r="G73" s="480"/>
      <c r="H73" s="480"/>
      <c r="I73" s="480"/>
      <c r="J73" s="521"/>
    </row>
    <row r="74" spans="1:13" s="135" customFormat="1" ht="20" customHeight="1">
      <c r="A74" s="463" t="s">
        <v>114</v>
      </c>
      <c r="B74" s="464"/>
      <c r="C74" s="464"/>
      <c r="D74" s="464"/>
      <c r="E74" s="465"/>
      <c r="F74" s="537" t="s">
        <v>196</v>
      </c>
      <c r="G74" s="537" t="s">
        <v>195</v>
      </c>
      <c r="H74" s="537" t="s">
        <v>194</v>
      </c>
      <c r="I74" s="535" t="s">
        <v>193</v>
      </c>
      <c r="J74" s="447" t="s">
        <v>117</v>
      </c>
    </row>
    <row r="75" spans="1:13" ht="20" customHeight="1" thickBot="1">
      <c r="A75" s="450"/>
      <c r="B75" s="466"/>
      <c r="C75" s="466"/>
      <c r="D75" s="466"/>
      <c r="E75" s="467"/>
      <c r="F75" s="536"/>
      <c r="G75" s="536"/>
      <c r="H75" s="536"/>
      <c r="I75" s="536"/>
      <c r="J75" s="448"/>
    </row>
    <row r="76" spans="1:13" ht="20" customHeight="1" thickBot="1">
      <c r="A76" s="599" t="s">
        <v>139</v>
      </c>
      <c r="B76" s="600"/>
      <c r="C76" s="600"/>
      <c r="D76" s="600"/>
      <c r="E76" s="601"/>
      <c r="F76" s="137" t="s">
        <v>118</v>
      </c>
      <c r="G76" s="138">
        <v>113.58</v>
      </c>
      <c r="H76" s="137">
        <v>6</v>
      </c>
      <c r="I76" s="137">
        <v>3</v>
      </c>
      <c r="J76" s="266">
        <f>ROUND(G76*I76/H76,2)</f>
        <v>56.79</v>
      </c>
    </row>
    <row r="77" spans="1:13" ht="20" customHeight="1" thickBot="1">
      <c r="A77" s="575" t="s">
        <v>264</v>
      </c>
      <c r="B77" s="470"/>
      <c r="C77" s="470"/>
      <c r="D77" s="470"/>
      <c r="E77" s="471"/>
      <c r="F77" s="87" t="s">
        <v>118</v>
      </c>
      <c r="G77" s="136">
        <v>25.23</v>
      </c>
      <c r="H77" s="87">
        <v>6</v>
      </c>
      <c r="I77" s="87">
        <v>5</v>
      </c>
      <c r="J77" s="266">
        <f t="shared" ref="J77:J86" si="4">ROUND(G77*I77/H77,2)</f>
        <v>21.03</v>
      </c>
    </row>
    <row r="78" spans="1:13" ht="36" customHeight="1" thickBot="1">
      <c r="A78" s="572" t="s">
        <v>273</v>
      </c>
      <c r="B78" s="573"/>
      <c r="C78" s="573"/>
      <c r="D78" s="573"/>
      <c r="E78" s="574"/>
      <c r="F78" s="87" t="s">
        <v>118</v>
      </c>
      <c r="G78" s="136">
        <v>31.86</v>
      </c>
      <c r="H78" s="87">
        <v>6</v>
      </c>
      <c r="I78" s="87">
        <v>3</v>
      </c>
      <c r="J78" s="266">
        <f t="shared" si="4"/>
        <v>15.93</v>
      </c>
    </row>
    <row r="79" spans="1:13" ht="20" customHeight="1" thickBot="1">
      <c r="A79" s="575" t="s">
        <v>272</v>
      </c>
      <c r="B79" s="470"/>
      <c r="C79" s="470"/>
      <c r="D79" s="470"/>
      <c r="E79" s="471"/>
      <c r="F79" s="87" t="s">
        <v>118</v>
      </c>
      <c r="G79" s="136">
        <v>10.29</v>
      </c>
      <c r="H79" s="87">
        <v>6</v>
      </c>
      <c r="I79" s="87">
        <v>4</v>
      </c>
      <c r="J79" s="266">
        <f t="shared" si="4"/>
        <v>6.86</v>
      </c>
    </row>
    <row r="80" spans="1:13" ht="20" customHeight="1" thickBot="1">
      <c r="A80" s="575" t="s">
        <v>140</v>
      </c>
      <c r="B80" s="470"/>
      <c r="C80" s="470"/>
      <c r="D80" s="470"/>
      <c r="E80" s="471"/>
      <c r="F80" s="87" t="s">
        <v>266</v>
      </c>
      <c r="G80" s="136">
        <v>73.849999999999994</v>
      </c>
      <c r="H80" s="87">
        <v>12</v>
      </c>
      <c r="I80" s="87">
        <v>2</v>
      </c>
      <c r="J80" s="266">
        <f t="shared" si="4"/>
        <v>12.31</v>
      </c>
    </row>
    <row r="81" spans="1:32" ht="20" customHeight="1" thickBot="1">
      <c r="A81" s="575" t="s">
        <v>141</v>
      </c>
      <c r="B81" s="470"/>
      <c r="C81" s="470"/>
      <c r="D81" s="470"/>
      <c r="E81" s="471"/>
      <c r="F81" s="87" t="s">
        <v>266</v>
      </c>
      <c r="G81" s="136">
        <v>10.76</v>
      </c>
      <c r="H81" s="87">
        <v>6</v>
      </c>
      <c r="I81" s="87">
        <v>5</v>
      </c>
      <c r="J81" s="266">
        <f t="shared" si="4"/>
        <v>8.9700000000000006</v>
      </c>
    </row>
    <row r="82" spans="1:32" ht="20" customHeight="1" thickBot="1">
      <c r="A82" s="556" t="s">
        <v>265</v>
      </c>
      <c r="B82" s="556"/>
      <c r="C82" s="556"/>
      <c r="D82" s="556"/>
      <c r="E82" s="557"/>
      <c r="F82" s="148" t="s">
        <v>266</v>
      </c>
      <c r="G82" s="149">
        <v>6.1</v>
      </c>
      <c r="H82" s="148">
        <v>6</v>
      </c>
      <c r="I82" s="148">
        <v>5</v>
      </c>
      <c r="J82" s="266">
        <f t="shared" si="4"/>
        <v>5.08</v>
      </c>
    </row>
    <row r="83" spans="1:32" ht="20" customHeight="1" thickBot="1">
      <c r="A83" s="556" t="s">
        <v>268</v>
      </c>
      <c r="B83" s="556"/>
      <c r="C83" s="556"/>
      <c r="D83" s="556"/>
      <c r="E83" s="557"/>
      <c r="F83" s="148" t="s">
        <v>118</v>
      </c>
      <c r="G83" s="149">
        <v>10.44</v>
      </c>
      <c r="H83" s="148">
        <v>6</v>
      </c>
      <c r="I83" s="148">
        <v>1</v>
      </c>
      <c r="J83" s="266">
        <f t="shared" si="4"/>
        <v>1.74</v>
      </c>
    </row>
    <row r="84" spans="1:32" ht="20" customHeight="1" thickBot="1">
      <c r="A84" s="556" t="s">
        <v>269</v>
      </c>
      <c r="B84" s="556"/>
      <c r="C84" s="556"/>
      <c r="D84" s="556"/>
      <c r="E84" s="557"/>
      <c r="F84" s="148" t="s">
        <v>118</v>
      </c>
      <c r="G84" s="149">
        <v>20.260000000000002</v>
      </c>
      <c r="H84" s="148">
        <v>6</v>
      </c>
      <c r="I84" s="148">
        <v>2</v>
      </c>
      <c r="J84" s="266">
        <f t="shared" si="4"/>
        <v>6.75</v>
      </c>
    </row>
    <row r="85" spans="1:32" ht="20" customHeight="1" thickBot="1">
      <c r="A85" s="575" t="s">
        <v>267</v>
      </c>
      <c r="B85" s="470"/>
      <c r="C85" s="470"/>
      <c r="D85" s="470"/>
      <c r="E85" s="471"/>
      <c r="F85" s="148" t="s">
        <v>118</v>
      </c>
      <c r="G85" s="149">
        <v>95.32</v>
      </c>
      <c r="H85" s="148">
        <v>12</v>
      </c>
      <c r="I85" s="148">
        <v>1</v>
      </c>
      <c r="J85" s="266">
        <f t="shared" si="4"/>
        <v>7.94</v>
      </c>
    </row>
    <row r="86" spans="1:32" ht="20" customHeight="1" thickBot="1">
      <c r="A86" s="460" t="s">
        <v>119</v>
      </c>
      <c r="B86" s="461"/>
      <c r="C86" s="461"/>
      <c r="D86" s="461"/>
      <c r="E86" s="462"/>
      <c r="F86" s="139" t="s">
        <v>118</v>
      </c>
      <c r="G86" s="140">
        <v>2.48</v>
      </c>
      <c r="H86" s="139">
        <v>12</v>
      </c>
      <c r="I86" s="139">
        <v>1</v>
      </c>
      <c r="J86" s="266">
        <f t="shared" si="4"/>
        <v>0.21</v>
      </c>
    </row>
    <row r="87" spans="1:32" ht="20" customHeight="1" thickBot="1">
      <c r="A87" s="468" t="s">
        <v>197</v>
      </c>
      <c r="B87" s="468"/>
      <c r="C87" s="468"/>
      <c r="D87" s="468"/>
      <c r="E87" s="468"/>
      <c r="F87" s="468"/>
      <c r="G87" s="468"/>
      <c r="H87" s="468"/>
      <c r="I87" s="468"/>
      <c r="J87" s="141">
        <f>SUM(J76:J86)</f>
        <v>143.61000000000001</v>
      </c>
    </row>
    <row r="88" spans="1:32" ht="20" customHeight="1" thickBot="1">
      <c r="A88" s="142"/>
      <c r="B88" s="142"/>
      <c r="C88" s="142"/>
      <c r="D88" s="142"/>
      <c r="E88" s="142"/>
      <c r="F88" s="142"/>
      <c r="G88" s="142"/>
      <c r="H88" s="142"/>
      <c r="I88" s="142"/>
      <c r="J88" s="142"/>
    </row>
    <row r="89" spans="1:32" ht="20" customHeight="1" thickBot="1">
      <c r="A89" s="558" t="s">
        <v>198</v>
      </c>
      <c r="B89" s="559"/>
      <c r="C89" s="559"/>
      <c r="D89" s="559"/>
      <c r="E89" s="559"/>
      <c r="F89" s="559"/>
      <c r="G89" s="559"/>
      <c r="H89" s="560"/>
    </row>
    <row r="90" spans="1:32" ht="43.5" customHeight="1" thickBot="1">
      <c r="A90" s="561"/>
      <c r="B90" s="562"/>
      <c r="C90" s="562"/>
      <c r="D90" s="562"/>
      <c r="E90" s="562"/>
      <c r="F90" s="562"/>
      <c r="G90" s="562"/>
      <c r="H90" s="563"/>
      <c r="I90" s="541" t="s">
        <v>350</v>
      </c>
      <c r="J90" s="542"/>
      <c r="K90" s="444" t="s">
        <v>311</v>
      </c>
      <c r="L90" s="445"/>
      <c r="M90" s="444" t="s">
        <v>312</v>
      </c>
      <c r="N90" s="445"/>
      <c r="O90" s="458" t="s">
        <v>395</v>
      </c>
      <c r="P90" s="458"/>
      <c r="Q90" s="456" t="s">
        <v>354</v>
      </c>
      <c r="R90" s="457"/>
      <c r="S90" s="456" t="s">
        <v>355</v>
      </c>
      <c r="T90" s="457"/>
      <c r="U90" s="456" t="s">
        <v>353</v>
      </c>
      <c r="V90" s="457"/>
      <c r="W90" s="444" t="s">
        <v>352</v>
      </c>
      <c r="X90" s="445"/>
      <c r="Y90" s="444" t="s">
        <v>351</v>
      </c>
      <c r="Z90" s="445"/>
      <c r="AA90" s="444" t="s">
        <v>356</v>
      </c>
      <c r="AB90" s="445"/>
      <c r="AC90" s="548" t="s">
        <v>357</v>
      </c>
      <c r="AD90" s="549"/>
      <c r="AE90" s="548" t="s">
        <v>358</v>
      </c>
      <c r="AF90" s="549"/>
    </row>
    <row r="91" spans="1:32" ht="20" customHeight="1">
      <c r="A91" s="463" t="s">
        <v>114</v>
      </c>
      <c r="B91" s="464"/>
      <c r="C91" s="464"/>
      <c r="D91" s="464"/>
      <c r="E91" s="465"/>
      <c r="F91" s="537" t="s">
        <v>196</v>
      </c>
      <c r="G91" s="537" t="s">
        <v>195</v>
      </c>
      <c r="H91" s="569" t="s">
        <v>194</v>
      </c>
      <c r="I91" s="212" t="s">
        <v>193</v>
      </c>
      <c r="J91" s="214" t="s">
        <v>117</v>
      </c>
      <c r="K91" s="446" t="s">
        <v>193</v>
      </c>
      <c r="L91" s="447" t="s">
        <v>117</v>
      </c>
      <c r="M91" s="446" t="s">
        <v>193</v>
      </c>
      <c r="N91" s="447" t="s">
        <v>117</v>
      </c>
      <c r="O91" s="446" t="s">
        <v>193</v>
      </c>
      <c r="P91" s="552" t="s">
        <v>117</v>
      </c>
      <c r="Q91" s="440" t="s">
        <v>193</v>
      </c>
      <c r="R91" s="442" t="s">
        <v>117</v>
      </c>
      <c r="S91" s="440" t="s">
        <v>193</v>
      </c>
      <c r="T91" s="442" t="s">
        <v>117</v>
      </c>
      <c r="U91" s="449" t="s">
        <v>193</v>
      </c>
      <c r="V91" s="451" t="s">
        <v>117</v>
      </c>
      <c r="W91" s="465" t="s">
        <v>193</v>
      </c>
      <c r="X91" s="447" t="s">
        <v>117</v>
      </c>
      <c r="Y91" s="446" t="s">
        <v>193</v>
      </c>
      <c r="Z91" s="447" t="s">
        <v>117</v>
      </c>
      <c r="AA91" s="446" t="s">
        <v>193</v>
      </c>
      <c r="AB91" s="447" t="s">
        <v>117</v>
      </c>
      <c r="AC91" s="446" t="s">
        <v>193</v>
      </c>
      <c r="AD91" s="447" t="s">
        <v>117</v>
      </c>
      <c r="AE91" s="446" t="s">
        <v>193</v>
      </c>
      <c r="AF91" s="447" t="s">
        <v>117</v>
      </c>
    </row>
    <row r="92" spans="1:32" ht="20" customHeight="1" thickBot="1">
      <c r="A92" s="450"/>
      <c r="B92" s="466"/>
      <c r="C92" s="466"/>
      <c r="D92" s="466"/>
      <c r="E92" s="467"/>
      <c r="F92" s="536"/>
      <c r="G92" s="568"/>
      <c r="H92" s="443"/>
      <c r="I92" s="213"/>
      <c r="J92" s="215"/>
      <c r="K92" s="441"/>
      <c r="L92" s="448"/>
      <c r="M92" s="441"/>
      <c r="N92" s="448"/>
      <c r="O92" s="441"/>
      <c r="P92" s="443"/>
      <c r="Q92" s="441"/>
      <c r="R92" s="443"/>
      <c r="S92" s="441"/>
      <c r="T92" s="443"/>
      <c r="U92" s="450"/>
      <c r="V92" s="452"/>
      <c r="W92" s="467"/>
      <c r="X92" s="448"/>
      <c r="Y92" s="441"/>
      <c r="Z92" s="448"/>
      <c r="AA92" s="441"/>
      <c r="AB92" s="448"/>
      <c r="AC92" s="441"/>
      <c r="AD92" s="448"/>
      <c r="AE92" s="441"/>
      <c r="AF92" s="448"/>
    </row>
    <row r="93" spans="1:32" ht="60" customHeight="1" thickBot="1">
      <c r="A93" s="564" t="s">
        <v>199</v>
      </c>
      <c r="B93" s="565"/>
      <c r="C93" s="565"/>
      <c r="D93" s="565"/>
      <c r="E93" s="566"/>
      <c r="F93" s="137" t="s">
        <v>118</v>
      </c>
      <c r="G93" s="327">
        <v>2254.37</v>
      </c>
      <c r="H93" s="66">
        <v>60</v>
      </c>
      <c r="I93" s="152">
        <v>0</v>
      </c>
      <c r="J93" s="147">
        <f>ROUND(G93*I93/H93,2)</f>
        <v>0</v>
      </c>
      <c r="K93" s="344">
        <v>0</v>
      </c>
      <c r="L93" s="147">
        <f>K93*G93/H93</f>
        <v>0</v>
      </c>
      <c r="M93" s="365">
        <v>0</v>
      </c>
      <c r="N93" s="147">
        <f>M93*G93/H93</f>
        <v>0</v>
      </c>
      <c r="O93" s="152">
        <v>0</v>
      </c>
      <c r="P93" s="335">
        <f>O93*G93/H93</f>
        <v>0</v>
      </c>
      <c r="Q93" s="338">
        <v>0</v>
      </c>
      <c r="R93" s="242">
        <f>Q93*G93/H93</f>
        <v>0</v>
      </c>
      <c r="S93" s="340">
        <v>0</v>
      </c>
      <c r="T93" s="242">
        <f>S93*G93/H93</f>
        <v>0</v>
      </c>
      <c r="U93" s="416">
        <v>0</v>
      </c>
      <c r="V93" s="242">
        <f>U93*G93/H93</f>
        <v>0</v>
      </c>
      <c r="W93" s="329">
        <v>0</v>
      </c>
      <c r="X93" s="147">
        <f>W93*G93/H93</f>
        <v>0</v>
      </c>
      <c r="Y93" s="347">
        <v>0</v>
      </c>
      <c r="Z93" s="147">
        <f>Y93*G93/H93</f>
        <v>0</v>
      </c>
      <c r="AA93" s="355">
        <v>1</v>
      </c>
      <c r="AB93" s="147">
        <f>AA93*G93/H93</f>
        <v>37.572833333333328</v>
      </c>
      <c r="AC93" s="152">
        <v>0</v>
      </c>
      <c r="AD93" s="147">
        <f>AC93*G93/H93</f>
        <v>0</v>
      </c>
      <c r="AE93" s="152">
        <v>0</v>
      </c>
      <c r="AF93" s="147">
        <f>AE93*G93/H93</f>
        <v>0</v>
      </c>
    </row>
    <row r="94" spans="1:32" ht="60" customHeight="1" thickBot="1">
      <c r="A94" s="522" t="s">
        <v>142</v>
      </c>
      <c r="B94" s="523"/>
      <c r="C94" s="523"/>
      <c r="D94" s="523"/>
      <c r="E94" s="524"/>
      <c r="F94" s="87" t="s">
        <v>118</v>
      </c>
      <c r="G94" s="327">
        <v>1066</v>
      </c>
      <c r="H94" s="216">
        <v>60</v>
      </c>
      <c r="I94" s="153">
        <v>6</v>
      </c>
      <c r="J94" s="147">
        <f t="shared" ref="J94:J98" si="5">ROUND(G94*I94/H94,2)</f>
        <v>106.6</v>
      </c>
      <c r="K94" s="343">
        <v>0</v>
      </c>
      <c r="L94" s="147">
        <f t="shared" ref="L94:L109" si="6">K94*G94/H94</f>
        <v>0</v>
      </c>
      <c r="M94" s="366">
        <v>0</v>
      </c>
      <c r="N94" s="147">
        <f t="shared" ref="N94:N109" si="7">M94*G94/H94</f>
        <v>0</v>
      </c>
      <c r="O94" s="153">
        <v>2</v>
      </c>
      <c r="P94" s="335">
        <f t="shared" ref="P94:P109" si="8">O94*G94/H94</f>
        <v>35.533333333333331</v>
      </c>
      <c r="Q94" s="338">
        <v>1</v>
      </c>
      <c r="R94" s="242">
        <f t="shared" ref="R94:R109" si="9">Q94*G94/H94</f>
        <v>17.766666666666666</v>
      </c>
      <c r="S94" s="340">
        <v>0</v>
      </c>
      <c r="T94" s="242">
        <f t="shared" ref="T94:T109" si="10">S94*G94/H94</f>
        <v>0</v>
      </c>
      <c r="U94" s="416">
        <v>0</v>
      </c>
      <c r="V94" s="242">
        <f t="shared" ref="V94:V109" si="11">U94*G94/H94</f>
        <v>0</v>
      </c>
      <c r="W94" s="336">
        <v>2</v>
      </c>
      <c r="X94" s="147">
        <f t="shared" ref="X94:X109" si="12">W94*G94/H94</f>
        <v>35.533333333333331</v>
      </c>
      <c r="Y94" s="348">
        <v>0</v>
      </c>
      <c r="Z94" s="147">
        <f t="shared" ref="Z94:Z109" si="13">Y94*G94/H94</f>
        <v>0</v>
      </c>
      <c r="AA94" s="356">
        <v>1</v>
      </c>
      <c r="AB94" s="147">
        <f t="shared" ref="AB94:AB109" si="14">AA94*G94/H94</f>
        <v>17.766666666666666</v>
      </c>
      <c r="AC94" s="153">
        <v>2</v>
      </c>
      <c r="AD94" s="147">
        <f t="shared" ref="AD94:AD109" si="15">AC94*G94/H94</f>
        <v>35.533333333333331</v>
      </c>
      <c r="AE94" s="153">
        <v>0</v>
      </c>
      <c r="AF94" s="147">
        <f t="shared" ref="AF94:AF109" si="16">AE94*G94/H94</f>
        <v>0</v>
      </c>
    </row>
    <row r="95" spans="1:32" ht="60" customHeight="1" thickBot="1">
      <c r="A95" s="522" t="s">
        <v>253</v>
      </c>
      <c r="B95" s="523"/>
      <c r="C95" s="523"/>
      <c r="D95" s="523"/>
      <c r="E95" s="524"/>
      <c r="F95" s="87" t="s">
        <v>118</v>
      </c>
      <c r="G95" s="327">
        <v>3195.6</v>
      </c>
      <c r="H95" s="216">
        <v>60</v>
      </c>
      <c r="I95" s="153">
        <v>0</v>
      </c>
      <c r="J95" s="147">
        <f t="shared" si="5"/>
        <v>0</v>
      </c>
      <c r="K95" s="343">
        <v>0</v>
      </c>
      <c r="L95" s="147">
        <f t="shared" si="6"/>
        <v>0</v>
      </c>
      <c r="M95" s="366">
        <v>0</v>
      </c>
      <c r="N95" s="147">
        <f t="shared" si="7"/>
        <v>0</v>
      </c>
      <c r="O95" s="153">
        <v>1</v>
      </c>
      <c r="P95" s="335">
        <f t="shared" si="8"/>
        <v>53.26</v>
      </c>
      <c r="Q95" s="338">
        <v>0</v>
      </c>
      <c r="R95" s="242">
        <f t="shared" si="9"/>
        <v>0</v>
      </c>
      <c r="S95" s="340">
        <v>1</v>
      </c>
      <c r="T95" s="242">
        <f t="shared" si="10"/>
        <v>53.26</v>
      </c>
      <c r="U95" s="416">
        <v>1</v>
      </c>
      <c r="V95" s="242">
        <f t="shared" si="11"/>
        <v>53.26</v>
      </c>
      <c r="W95" s="336">
        <v>0</v>
      </c>
      <c r="X95" s="147">
        <f t="shared" si="12"/>
        <v>0</v>
      </c>
      <c r="Y95" s="348">
        <v>1</v>
      </c>
      <c r="Z95" s="147">
        <f t="shared" si="13"/>
        <v>53.26</v>
      </c>
      <c r="AA95" s="356">
        <v>2</v>
      </c>
      <c r="AB95" s="147">
        <f t="shared" si="14"/>
        <v>106.52</v>
      </c>
      <c r="AC95" s="153">
        <v>1</v>
      </c>
      <c r="AD95" s="147">
        <f t="shared" si="15"/>
        <v>53.26</v>
      </c>
      <c r="AE95" s="153">
        <v>1</v>
      </c>
      <c r="AF95" s="147">
        <f t="shared" si="16"/>
        <v>53.26</v>
      </c>
    </row>
    <row r="96" spans="1:32" ht="60" customHeight="1" thickBot="1">
      <c r="A96" s="522" t="s">
        <v>252</v>
      </c>
      <c r="B96" s="523"/>
      <c r="C96" s="523"/>
      <c r="D96" s="523"/>
      <c r="E96" s="524"/>
      <c r="F96" s="87" t="s">
        <v>118</v>
      </c>
      <c r="G96" s="327">
        <v>119.36</v>
      </c>
      <c r="H96" s="216">
        <v>36</v>
      </c>
      <c r="I96" s="153">
        <v>2</v>
      </c>
      <c r="J96" s="147">
        <f t="shared" si="5"/>
        <v>6.63</v>
      </c>
      <c r="K96" s="351">
        <v>2</v>
      </c>
      <c r="L96" s="147">
        <f t="shared" si="6"/>
        <v>6.6311111111111112</v>
      </c>
      <c r="M96" s="366">
        <v>2</v>
      </c>
      <c r="N96" s="147">
        <f t="shared" si="7"/>
        <v>6.6311111111111112</v>
      </c>
      <c r="O96" s="153">
        <v>6</v>
      </c>
      <c r="P96" s="335">
        <f t="shared" si="8"/>
        <v>19.893333333333331</v>
      </c>
      <c r="Q96" s="338">
        <v>0</v>
      </c>
      <c r="R96" s="242">
        <f t="shared" si="9"/>
        <v>0</v>
      </c>
      <c r="S96" s="341">
        <v>5</v>
      </c>
      <c r="T96" s="242">
        <f t="shared" si="10"/>
        <v>16.577777777777776</v>
      </c>
      <c r="U96" s="416">
        <v>6</v>
      </c>
      <c r="V96" s="242">
        <f t="shared" si="11"/>
        <v>19.893333333333331</v>
      </c>
      <c r="W96" s="336">
        <v>2</v>
      </c>
      <c r="X96" s="147">
        <f t="shared" si="12"/>
        <v>6.6311111111111112</v>
      </c>
      <c r="Y96" s="348">
        <v>2</v>
      </c>
      <c r="Z96" s="147">
        <f t="shared" si="13"/>
        <v>6.6311111111111112</v>
      </c>
      <c r="AA96" s="356">
        <v>2</v>
      </c>
      <c r="AB96" s="147">
        <f t="shared" si="14"/>
        <v>6.6311111111111112</v>
      </c>
      <c r="AC96" s="153">
        <v>2</v>
      </c>
      <c r="AD96" s="147">
        <f t="shared" si="15"/>
        <v>6.6311111111111112</v>
      </c>
      <c r="AE96" s="153">
        <v>2</v>
      </c>
      <c r="AF96" s="147">
        <f t="shared" si="16"/>
        <v>6.6311111111111112</v>
      </c>
    </row>
    <row r="97" spans="1:32" ht="60" customHeight="1" thickBot="1">
      <c r="A97" s="522" t="s">
        <v>120</v>
      </c>
      <c r="B97" s="523"/>
      <c r="C97" s="523"/>
      <c r="D97" s="523"/>
      <c r="E97" s="524"/>
      <c r="F97" s="87" t="s">
        <v>118</v>
      </c>
      <c r="G97" s="327">
        <v>66.099999999999994</v>
      </c>
      <c r="H97" s="216">
        <v>36</v>
      </c>
      <c r="I97" s="153">
        <v>20</v>
      </c>
      <c r="J97" s="147">
        <f t="shared" si="5"/>
        <v>36.72</v>
      </c>
      <c r="K97" s="343">
        <v>2</v>
      </c>
      <c r="L97" s="147">
        <f t="shared" si="6"/>
        <v>3.6722222222222221</v>
      </c>
      <c r="M97" s="366">
        <v>2</v>
      </c>
      <c r="N97" s="147">
        <f t="shared" si="7"/>
        <v>3.6722222222222221</v>
      </c>
      <c r="O97" s="153">
        <v>7</v>
      </c>
      <c r="P97" s="335">
        <f t="shared" si="8"/>
        <v>12.852777777777776</v>
      </c>
      <c r="Q97" s="338">
        <v>2</v>
      </c>
      <c r="R97" s="242">
        <f t="shared" si="9"/>
        <v>3.6722222222222221</v>
      </c>
      <c r="S97" s="341">
        <v>0</v>
      </c>
      <c r="T97" s="242">
        <f t="shared" si="10"/>
        <v>0</v>
      </c>
      <c r="U97" s="416">
        <v>4</v>
      </c>
      <c r="V97" s="242">
        <f t="shared" si="11"/>
        <v>7.3444444444444441</v>
      </c>
      <c r="W97" s="336">
        <v>0</v>
      </c>
      <c r="X97" s="147">
        <f t="shared" si="12"/>
        <v>0</v>
      </c>
      <c r="Y97" s="348">
        <v>6</v>
      </c>
      <c r="Z97" s="147">
        <f t="shared" si="13"/>
        <v>11.016666666666666</v>
      </c>
      <c r="AA97" s="356">
        <v>18</v>
      </c>
      <c r="AB97" s="147">
        <f t="shared" si="14"/>
        <v>33.049999999999997</v>
      </c>
      <c r="AC97" s="153">
        <v>18</v>
      </c>
      <c r="AD97" s="147">
        <f t="shared" si="15"/>
        <v>33.049999999999997</v>
      </c>
      <c r="AE97" s="153">
        <v>12</v>
      </c>
      <c r="AF97" s="147">
        <f t="shared" si="16"/>
        <v>22.033333333333331</v>
      </c>
    </row>
    <row r="98" spans="1:32" ht="60" customHeight="1" thickBot="1">
      <c r="A98" s="522" t="s">
        <v>121</v>
      </c>
      <c r="B98" s="523"/>
      <c r="C98" s="523"/>
      <c r="D98" s="523"/>
      <c r="E98" s="524"/>
      <c r="F98" s="87" t="s">
        <v>118</v>
      </c>
      <c r="G98" s="327">
        <v>100.49</v>
      </c>
      <c r="H98" s="216">
        <v>36</v>
      </c>
      <c r="I98" s="153">
        <v>20</v>
      </c>
      <c r="J98" s="147">
        <f t="shared" si="5"/>
        <v>55.83</v>
      </c>
      <c r="K98" s="345">
        <v>2</v>
      </c>
      <c r="L98" s="147">
        <f t="shared" si="6"/>
        <v>5.5827777777777774</v>
      </c>
      <c r="M98" s="366">
        <v>2</v>
      </c>
      <c r="N98" s="147">
        <f t="shared" si="7"/>
        <v>5.5827777777777774</v>
      </c>
      <c r="O98" s="153">
        <v>20</v>
      </c>
      <c r="P98" s="335">
        <f t="shared" si="8"/>
        <v>55.827777777777776</v>
      </c>
      <c r="Q98" s="338">
        <v>0</v>
      </c>
      <c r="R98" s="242">
        <f t="shared" si="9"/>
        <v>0</v>
      </c>
      <c r="S98" s="341">
        <v>18</v>
      </c>
      <c r="T98" s="242">
        <f t="shared" si="10"/>
        <v>50.244999999999997</v>
      </c>
      <c r="U98" s="416">
        <v>8</v>
      </c>
      <c r="V98" s="242">
        <f t="shared" si="11"/>
        <v>22.33111111111111</v>
      </c>
      <c r="W98" s="336">
        <v>15</v>
      </c>
      <c r="X98" s="147">
        <f t="shared" si="12"/>
        <v>41.87083333333333</v>
      </c>
      <c r="Y98" s="348">
        <v>6</v>
      </c>
      <c r="Z98" s="147">
        <f t="shared" si="13"/>
        <v>16.748333333333331</v>
      </c>
      <c r="AA98" s="356">
        <v>6</v>
      </c>
      <c r="AB98" s="147">
        <f t="shared" si="14"/>
        <v>16.748333333333331</v>
      </c>
      <c r="AC98" s="153">
        <v>6</v>
      </c>
      <c r="AD98" s="147">
        <f t="shared" si="15"/>
        <v>16.748333333333331</v>
      </c>
      <c r="AE98" s="153">
        <v>3</v>
      </c>
      <c r="AF98" s="147">
        <f t="shared" si="16"/>
        <v>8.3741666666666656</v>
      </c>
    </row>
    <row r="99" spans="1:32" ht="60" customHeight="1" thickBot="1">
      <c r="A99" s="530" t="s">
        <v>254</v>
      </c>
      <c r="B99" s="531"/>
      <c r="C99" s="531"/>
      <c r="D99" s="531"/>
      <c r="E99" s="532"/>
      <c r="F99" s="87" t="s">
        <v>118</v>
      </c>
      <c r="G99" s="327">
        <v>27.99</v>
      </c>
      <c r="H99" s="216">
        <v>36</v>
      </c>
      <c r="I99" s="153">
        <v>0</v>
      </c>
      <c r="J99" s="147">
        <f>G99*I99/H99</f>
        <v>0</v>
      </c>
      <c r="K99" s="360">
        <v>0</v>
      </c>
      <c r="L99" s="147">
        <f t="shared" si="6"/>
        <v>0</v>
      </c>
      <c r="M99" s="366">
        <v>0</v>
      </c>
      <c r="N99" s="147">
        <f t="shared" si="7"/>
        <v>0</v>
      </c>
      <c r="O99" s="153">
        <v>0</v>
      </c>
      <c r="P99" s="335">
        <f t="shared" si="8"/>
        <v>0</v>
      </c>
      <c r="Q99" s="338">
        <v>0</v>
      </c>
      <c r="R99" s="242">
        <f t="shared" si="9"/>
        <v>0</v>
      </c>
      <c r="S99" s="341">
        <v>0</v>
      </c>
      <c r="T99" s="242">
        <f>S99*G99/H99</f>
        <v>0</v>
      </c>
      <c r="U99" s="416">
        <v>0</v>
      </c>
      <c r="V99" s="242">
        <f t="shared" si="11"/>
        <v>0</v>
      </c>
      <c r="W99" s="336">
        <v>0</v>
      </c>
      <c r="X99" s="147">
        <f t="shared" si="12"/>
        <v>0</v>
      </c>
      <c r="Y99" s="348">
        <v>0</v>
      </c>
      <c r="Z99" s="147">
        <f t="shared" si="13"/>
        <v>0</v>
      </c>
      <c r="AA99" s="356">
        <v>5</v>
      </c>
      <c r="AB99" s="147">
        <f t="shared" si="14"/>
        <v>3.8874999999999997</v>
      </c>
      <c r="AC99" s="153">
        <v>0</v>
      </c>
      <c r="AD99" s="147">
        <f t="shared" si="15"/>
        <v>0</v>
      </c>
      <c r="AE99" s="153">
        <v>0</v>
      </c>
      <c r="AF99" s="147">
        <f t="shared" si="16"/>
        <v>0</v>
      </c>
    </row>
    <row r="100" spans="1:32" ht="60" customHeight="1" thickBot="1">
      <c r="A100" s="530" t="s">
        <v>255</v>
      </c>
      <c r="B100" s="531"/>
      <c r="C100" s="531"/>
      <c r="D100" s="531"/>
      <c r="E100" s="532"/>
      <c r="F100" s="87" t="s">
        <v>247</v>
      </c>
      <c r="G100" s="327">
        <v>645.41999999999996</v>
      </c>
      <c r="H100" s="216">
        <v>36</v>
      </c>
      <c r="I100" s="153">
        <v>0</v>
      </c>
      <c r="J100" s="147">
        <f t="shared" ref="J100:J104" si="17">G100*I100/H100</f>
        <v>0</v>
      </c>
      <c r="K100" s="360">
        <v>0</v>
      </c>
      <c r="L100" s="147">
        <f t="shared" si="6"/>
        <v>0</v>
      </c>
      <c r="M100" s="366">
        <v>0</v>
      </c>
      <c r="N100" s="147">
        <f t="shared" si="7"/>
        <v>0</v>
      </c>
      <c r="O100" s="153">
        <v>0</v>
      </c>
      <c r="P100" s="335">
        <f t="shared" si="8"/>
        <v>0</v>
      </c>
      <c r="Q100" s="338">
        <v>0</v>
      </c>
      <c r="R100" s="242">
        <f t="shared" si="9"/>
        <v>0</v>
      </c>
      <c r="S100" s="341">
        <v>0</v>
      </c>
      <c r="T100" s="242">
        <f t="shared" si="10"/>
        <v>0</v>
      </c>
      <c r="U100" s="416">
        <v>0</v>
      </c>
      <c r="V100" s="242">
        <f t="shared" si="11"/>
        <v>0</v>
      </c>
      <c r="W100" s="336">
        <v>0</v>
      </c>
      <c r="X100" s="147">
        <f t="shared" si="12"/>
        <v>0</v>
      </c>
      <c r="Y100" s="422">
        <v>15</v>
      </c>
      <c r="Z100" s="147">
        <f t="shared" si="13"/>
        <v>268.92499999999995</v>
      </c>
      <c r="AA100" s="356">
        <v>2</v>
      </c>
      <c r="AB100" s="147">
        <f t="shared" si="14"/>
        <v>35.856666666666662</v>
      </c>
      <c r="AC100" s="153">
        <v>0</v>
      </c>
      <c r="AD100" s="147">
        <f t="shared" si="15"/>
        <v>0</v>
      </c>
      <c r="AE100" s="153">
        <v>0</v>
      </c>
      <c r="AF100" s="147">
        <f t="shared" si="16"/>
        <v>0</v>
      </c>
    </row>
    <row r="101" spans="1:32" ht="60" customHeight="1" thickBot="1">
      <c r="A101" s="522" t="s">
        <v>122</v>
      </c>
      <c r="B101" s="523"/>
      <c r="C101" s="523"/>
      <c r="D101" s="523"/>
      <c r="E101" s="524"/>
      <c r="F101" s="87" t="s">
        <v>118</v>
      </c>
      <c r="G101" s="327">
        <v>76.97</v>
      </c>
      <c r="H101" s="216">
        <v>36</v>
      </c>
      <c r="I101" s="153">
        <v>12</v>
      </c>
      <c r="J101" s="147">
        <f t="shared" si="17"/>
        <v>25.656666666666666</v>
      </c>
      <c r="K101" s="360">
        <v>2</v>
      </c>
      <c r="L101" s="147">
        <f t="shared" si="6"/>
        <v>4.2761111111111108</v>
      </c>
      <c r="M101" s="366">
        <v>0</v>
      </c>
      <c r="N101" s="147">
        <f t="shared" si="7"/>
        <v>0</v>
      </c>
      <c r="O101" s="153">
        <v>13</v>
      </c>
      <c r="P101" s="335">
        <f t="shared" si="8"/>
        <v>27.794722222222223</v>
      </c>
      <c r="Q101" s="338">
        <v>3</v>
      </c>
      <c r="R101" s="242">
        <f t="shared" si="9"/>
        <v>6.4141666666666666</v>
      </c>
      <c r="S101" s="341">
        <v>1</v>
      </c>
      <c r="T101" s="242">
        <f t="shared" si="10"/>
        <v>2.1380555555555554</v>
      </c>
      <c r="U101" s="416">
        <v>4</v>
      </c>
      <c r="V101" s="242">
        <f t="shared" si="11"/>
        <v>8.5522222222222215</v>
      </c>
      <c r="W101" s="336">
        <v>0</v>
      </c>
      <c r="X101" s="147">
        <f t="shared" si="12"/>
        <v>0</v>
      </c>
      <c r="Y101" s="348">
        <v>4</v>
      </c>
      <c r="Z101" s="147">
        <f t="shared" si="13"/>
        <v>8.5522222222222215</v>
      </c>
      <c r="AA101" s="356">
        <v>4</v>
      </c>
      <c r="AB101" s="147">
        <f t="shared" si="14"/>
        <v>8.5522222222222215</v>
      </c>
      <c r="AC101" s="153">
        <v>12</v>
      </c>
      <c r="AD101" s="147">
        <f t="shared" si="15"/>
        <v>25.656666666666666</v>
      </c>
      <c r="AE101" s="153">
        <v>8</v>
      </c>
      <c r="AF101" s="147">
        <f t="shared" si="16"/>
        <v>17.104444444444443</v>
      </c>
    </row>
    <row r="102" spans="1:32" ht="80" customHeight="1" thickBot="1">
      <c r="A102" s="522" t="s">
        <v>143</v>
      </c>
      <c r="B102" s="523"/>
      <c r="C102" s="523"/>
      <c r="D102" s="523"/>
      <c r="E102" s="524"/>
      <c r="F102" s="87" t="s">
        <v>118</v>
      </c>
      <c r="G102" s="327">
        <v>1121.71</v>
      </c>
      <c r="H102" s="88">
        <v>60</v>
      </c>
      <c r="I102" s="153">
        <v>5</v>
      </c>
      <c r="J102" s="147">
        <f t="shared" si="17"/>
        <v>93.475833333333341</v>
      </c>
      <c r="K102" s="360">
        <v>1</v>
      </c>
      <c r="L102" s="147">
        <f t="shared" si="6"/>
        <v>18.695166666666669</v>
      </c>
      <c r="M102" s="366">
        <v>0</v>
      </c>
      <c r="N102" s="147">
        <f t="shared" si="7"/>
        <v>0</v>
      </c>
      <c r="O102" s="153">
        <v>4</v>
      </c>
      <c r="P102" s="335">
        <f t="shared" si="8"/>
        <v>74.780666666666676</v>
      </c>
      <c r="Q102" s="338">
        <v>1</v>
      </c>
      <c r="R102" s="242">
        <f t="shared" si="9"/>
        <v>18.695166666666669</v>
      </c>
      <c r="S102" s="341">
        <v>0</v>
      </c>
      <c r="T102" s="242">
        <f t="shared" si="10"/>
        <v>0</v>
      </c>
      <c r="U102" s="416">
        <v>0</v>
      </c>
      <c r="V102" s="242">
        <f t="shared" si="11"/>
        <v>0</v>
      </c>
      <c r="W102" s="336">
        <v>0</v>
      </c>
      <c r="X102" s="147">
        <f t="shared" si="12"/>
        <v>0</v>
      </c>
      <c r="Y102" s="348">
        <v>1</v>
      </c>
      <c r="Z102" s="147">
        <f t="shared" si="13"/>
        <v>18.695166666666669</v>
      </c>
      <c r="AA102" s="356">
        <v>2</v>
      </c>
      <c r="AB102" s="147">
        <f t="shared" si="14"/>
        <v>37.390333333333338</v>
      </c>
      <c r="AC102" s="153">
        <v>2</v>
      </c>
      <c r="AD102" s="147">
        <f t="shared" si="15"/>
        <v>37.390333333333338</v>
      </c>
      <c r="AE102" s="153">
        <v>0</v>
      </c>
      <c r="AF102" s="147">
        <f t="shared" si="16"/>
        <v>0</v>
      </c>
    </row>
    <row r="103" spans="1:32" ht="60" customHeight="1" thickBot="1">
      <c r="A103" s="522" t="s">
        <v>144</v>
      </c>
      <c r="B103" s="523"/>
      <c r="C103" s="523"/>
      <c r="D103" s="523"/>
      <c r="E103" s="524"/>
      <c r="F103" s="87" t="s">
        <v>118</v>
      </c>
      <c r="G103" s="327">
        <v>66.959999999999994</v>
      </c>
      <c r="H103" s="88">
        <v>36</v>
      </c>
      <c r="I103" s="153">
        <v>5</v>
      </c>
      <c r="J103" s="147">
        <f t="shared" si="17"/>
        <v>9.2999999999999989</v>
      </c>
      <c r="K103" s="360">
        <v>0</v>
      </c>
      <c r="L103" s="147">
        <f t="shared" si="6"/>
        <v>0</v>
      </c>
      <c r="M103" s="366">
        <v>0</v>
      </c>
      <c r="N103" s="147">
        <f t="shared" si="7"/>
        <v>0</v>
      </c>
      <c r="O103" s="153">
        <v>4</v>
      </c>
      <c r="P103" s="335">
        <f t="shared" si="8"/>
        <v>7.4399999999999995</v>
      </c>
      <c r="Q103" s="338">
        <v>0</v>
      </c>
      <c r="R103" s="242">
        <f t="shared" si="9"/>
        <v>0</v>
      </c>
      <c r="S103" s="341">
        <v>4</v>
      </c>
      <c r="T103" s="242">
        <f t="shared" si="10"/>
        <v>7.4399999999999995</v>
      </c>
      <c r="U103" s="416">
        <v>0</v>
      </c>
      <c r="V103" s="242">
        <f t="shared" si="11"/>
        <v>0</v>
      </c>
      <c r="W103" s="336">
        <v>0</v>
      </c>
      <c r="X103" s="147">
        <f t="shared" si="12"/>
        <v>0</v>
      </c>
      <c r="Y103" s="348">
        <v>0</v>
      </c>
      <c r="Z103" s="147">
        <f t="shared" si="13"/>
        <v>0</v>
      </c>
      <c r="AA103" s="356">
        <v>1</v>
      </c>
      <c r="AB103" s="147">
        <f t="shared" si="14"/>
        <v>1.8599999999999999</v>
      </c>
      <c r="AC103" s="153">
        <v>4</v>
      </c>
      <c r="AD103" s="147">
        <f t="shared" si="15"/>
        <v>7.4399999999999995</v>
      </c>
      <c r="AE103" s="153">
        <v>1</v>
      </c>
      <c r="AF103" s="147">
        <f t="shared" si="16"/>
        <v>1.8599999999999999</v>
      </c>
    </row>
    <row r="104" spans="1:32" ht="60" customHeight="1" thickBot="1">
      <c r="A104" s="522" t="s">
        <v>123</v>
      </c>
      <c r="B104" s="523"/>
      <c r="C104" s="523"/>
      <c r="D104" s="523"/>
      <c r="E104" s="524"/>
      <c r="F104" s="87" t="s">
        <v>118</v>
      </c>
      <c r="G104" s="327">
        <v>22.93</v>
      </c>
      <c r="H104" s="88">
        <v>36</v>
      </c>
      <c r="I104" s="153">
        <v>16</v>
      </c>
      <c r="J104" s="147">
        <f t="shared" si="17"/>
        <v>10.191111111111111</v>
      </c>
      <c r="K104" s="360">
        <v>0</v>
      </c>
      <c r="L104" s="147">
        <f t="shared" si="6"/>
        <v>0</v>
      </c>
      <c r="M104" s="366">
        <v>0</v>
      </c>
      <c r="N104" s="147">
        <f t="shared" si="7"/>
        <v>0</v>
      </c>
      <c r="O104" s="153">
        <v>14</v>
      </c>
      <c r="P104" s="335">
        <f t="shared" si="8"/>
        <v>8.9172222222222217</v>
      </c>
      <c r="Q104" s="338">
        <v>2</v>
      </c>
      <c r="R104" s="242">
        <f t="shared" si="9"/>
        <v>1.2738888888888888</v>
      </c>
      <c r="S104" s="341">
        <v>8</v>
      </c>
      <c r="T104" s="242">
        <f t="shared" si="10"/>
        <v>5.0955555555555554</v>
      </c>
      <c r="U104" s="416">
        <v>2</v>
      </c>
      <c r="V104" s="242">
        <f t="shared" si="11"/>
        <v>1.2738888888888888</v>
      </c>
      <c r="W104" s="336">
        <v>0</v>
      </c>
      <c r="X104" s="147">
        <f t="shared" si="12"/>
        <v>0</v>
      </c>
      <c r="Y104" s="348">
        <v>5</v>
      </c>
      <c r="Z104" s="147">
        <f t="shared" si="13"/>
        <v>3.1847222222222222</v>
      </c>
      <c r="AA104" s="356">
        <v>10</v>
      </c>
      <c r="AB104" s="147">
        <f t="shared" si="14"/>
        <v>6.3694444444444445</v>
      </c>
      <c r="AC104" s="153">
        <v>12</v>
      </c>
      <c r="AD104" s="147">
        <f t="shared" si="15"/>
        <v>7.6433333333333326</v>
      </c>
      <c r="AE104" s="153">
        <v>6</v>
      </c>
      <c r="AF104" s="147">
        <f t="shared" si="16"/>
        <v>3.8216666666666663</v>
      </c>
    </row>
    <row r="105" spans="1:32" ht="60" customHeight="1" thickBot="1">
      <c r="A105" s="522" t="s">
        <v>124</v>
      </c>
      <c r="B105" s="523"/>
      <c r="C105" s="523"/>
      <c r="D105" s="523"/>
      <c r="E105" s="524"/>
      <c r="F105" s="87" t="s">
        <v>118</v>
      </c>
      <c r="G105" s="327">
        <v>3.12</v>
      </c>
      <c r="H105" s="88">
        <v>36</v>
      </c>
      <c r="I105" s="153">
        <v>11</v>
      </c>
      <c r="J105" s="147">
        <f t="shared" ref="J105:J109" si="18">ROUND(G105*I105/H105,2)</f>
        <v>0.95</v>
      </c>
      <c r="K105" s="360">
        <v>0</v>
      </c>
      <c r="L105" s="147">
        <f t="shared" si="6"/>
        <v>0</v>
      </c>
      <c r="M105" s="366">
        <v>0</v>
      </c>
      <c r="N105" s="147">
        <f t="shared" si="7"/>
        <v>0</v>
      </c>
      <c r="O105" s="153">
        <v>18</v>
      </c>
      <c r="P105" s="335">
        <f t="shared" si="8"/>
        <v>1.56</v>
      </c>
      <c r="Q105" s="338">
        <v>1</v>
      </c>
      <c r="R105" s="242">
        <f t="shared" si="9"/>
        <v>8.666666666666667E-2</v>
      </c>
      <c r="S105" s="341">
        <v>2</v>
      </c>
      <c r="T105" s="242">
        <f>S105*G105/H105</f>
        <v>0.17333333333333334</v>
      </c>
      <c r="U105" s="416">
        <v>0</v>
      </c>
      <c r="V105" s="242">
        <f t="shared" si="11"/>
        <v>0</v>
      </c>
      <c r="W105" s="336">
        <v>0</v>
      </c>
      <c r="X105" s="147">
        <f t="shared" si="12"/>
        <v>0</v>
      </c>
      <c r="Y105" s="348">
        <v>5</v>
      </c>
      <c r="Z105" s="147">
        <f t="shared" si="13"/>
        <v>0.43333333333333335</v>
      </c>
      <c r="AA105" s="356">
        <v>0</v>
      </c>
      <c r="AB105" s="147">
        <f t="shared" si="14"/>
        <v>0</v>
      </c>
      <c r="AC105" s="153">
        <v>0</v>
      </c>
      <c r="AD105" s="147">
        <f t="shared" si="15"/>
        <v>0</v>
      </c>
      <c r="AE105" s="153">
        <v>3</v>
      </c>
      <c r="AF105" s="147">
        <f t="shared" si="16"/>
        <v>0.26</v>
      </c>
    </row>
    <row r="106" spans="1:32" ht="60" customHeight="1" thickBot="1">
      <c r="A106" s="522" t="s">
        <v>256</v>
      </c>
      <c r="B106" s="523"/>
      <c r="C106" s="523"/>
      <c r="D106" s="523"/>
      <c r="E106" s="524"/>
      <c r="F106" s="87" t="s">
        <v>118</v>
      </c>
      <c r="G106" s="327">
        <v>16.98</v>
      </c>
      <c r="H106" s="151">
        <v>36</v>
      </c>
      <c r="I106" s="238">
        <v>12</v>
      </c>
      <c r="J106" s="239">
        <f t="shared" si="18"/>
        <v>5.66</v>
      </c>
      <c r="K106" s="361">
        <v>0</v>
      </c>
      <c r="L106" s="147">
        <f t="shared" si="6"/>
        <v>0</v>
      </c>
      <c r="M106" s="367">
        <v>0</v>
      </c>
      <c r="N106" s="147">
        <f t="shared" si="7"/>
        <v>0</v>
      </c>
      <c r="O106" s="238">
        <v>5</v>
      </c>
      <c r="P106" s="335">
        <f t="shared" si="8"/>
        <v>2.3583333333333334</v>
      </c>
      <c r="Q106" s="338">
        <v>0</v>
      </c>
      <c r="R106" s="242">
        <f>Q106*G106/H106</f>
        <v>0</v>
      </c>
      <c r="S106" s="341">
        <v>4</v>
      </c>
      <c r="T106" s="242">
        <f t="shared" si="10"/>
        <v>1.8866666666666667</v>
      </c>
      <c r="U106" s="416">
        <v>0</v>
      </c>
      <c r="V106" s="242">
        <f t="shared" si="11"/>
        <v>0</v>
      </c>
      <c r="W106" s="337">
        <v>0</v>
      </c>
      <c r="X106" s="147">
        <f t="shared" si="12"/>
        <v>0</v>
      </c>
      <c r="Y106" s="349">
        <v>2</v>
      </c>
      <c r="Z106" s="147">
        <f t="shared" si="13"/>
        <v>0.94333333333333336</v>
      </c>
      <c r="AA106" s="357">
        <v>2</v>
      </c>
      <c r="AB106" s="147">
        <f t="shared" si="14"/>
        <v>0.94333333333333336</v>
      </c>
      <c r="AC106" s="238">
        <v>12</v>
      </c>
      <c r="AD106" s="147">
        <f t="shared" si="15"/>
        <v>5.66</v>
      </c>
      <c r="AE106" s="238">
        <v>2</v>
      </c>
      <c r="AF106" s="147">
        <f t="shared" si="16"/>
        <v>0.94333333333333336</v>
      </c>
    </row>
    <row r="107" spans="1:32" ht="86.5" customHeight="1" thickBot="1">
      <c r="A107" s="543" t="s">
        <v>257</v>
      </c>
      <c r="B107" s="544"/>
      <c r="C107" s="544"/>
      <c r="D107" s="544"/>
      <c r="E107" s="545"/>
      <c r="F107" s="148" t="s">
        <v>118</v>
      </c>
      <c r="G107" s="327">
        <v>29.13</v>
      </c>
      <c r="H107" s="87">
        <v>36</v>
      </c>
      <c r="I107" s="87">
        <v>2</v>
      </c>
      <c r="J107" s="242">
        <f t="shared" si="18"/>
        <v>1.62</v>
      </c>
      <c r="K107" s="359">
        <v>0</v>
      </c>
      <c r="L107" s="147">
        <f t="shared" si="6"/>
        <v>0</v>
      </c>
      <c r="M107" s="364">
        <v>0</v>
      </c>
      <c r="N107" s="147">
        <f t="shared" si="7"/>
        <v>0</v>
      </c>
      <c r="O107" s="87">
        <v>15</v>
      </c>
      <c r="P107" s="335">
        <f t="shared" si="8"/>
        <v>12.137499999999999</v>
      </c>
      <c r="Q107" s="338">
        <v>2</v>
      </c>
      <c r="R107" s="242">
        <f t="shared" si="9"/>
        <v>1.6183333333333332</v>
      </c>
      <c r="S107" s="341">
        <v>18</v>
      </c>
      <c r="T107" s="242">
        <f t="shared" si="10"/>
        <v>14.565000000000001</v>
      </c>
      <c r="U107" s="416">
        <v>4</v>
      </c>
      <c r="V107" s="242">
        <f t="shared" si="11"/>
        <v>3.2366666666666664</v>
      </c>
      <c r="W107" s="336">
        <v>0</v>
      </c>
      <c r="X107" s="147">
        <f t="shared" si="12"/>
        <v>0</v>
      </c>
      <c r="Y107" s="346">
        <v>5</v>
      </c>
      <c r="Z107" s="147">
        <f t="shared" si="13"/>
        <v>4.0458333333333334</v>
      </c>
      <c r="AA107" s="354">
        <v>0</v>
      </c>
      <c r="AB107" s="147">
        <f t="shared" si="14"/>
        <v>0</v>
      </c>
      <c r="AC107" s="87">
        <v>15</v>
      </c>
      <c r="AD107" s="147">
        <f t="shared" si="15"/>
        <v>12.137499999999999</v>
      </c>
      <c r="AE107" s="87">
        <v>3</v>
      </c>
      <c r="AF107" s="147">
        <f t="shared" si="16"/>
        <v>2.4275000000000002</v>
      </c>
    </row>
    <row r="108" spans="1:32" ht="86.5" customHeight="1" thickBot="1">
      <c r="A108" s="555" t="s">
        <v>259</v>
      </c>
      <c r="B108" s="555"/>
      <c r="C108" s="555"/>
      <c r="D108" s="555"/>
      <c r="E108" s="555"/>
      <c r="F108" s="87" t="s">
        <v>118</v>
      </c>
      <c r="G108" s="327">
        <v>122.73</v>
      </c>
      <c r="H108" s="87">
        <v>36</v>
      </c>
      <c r="I108" s="87">
        <v>4</v>
      </c>
      <c r="J108" s="242">
        <f t="shared" si="18"/>
        <v>13.64</v>
      </c>
      <c r="K108" s="359">
        <v>2</v>
      </c>
      <c r="L108" s="147">
        <f t="shared" si="6"/>
        <v>6.8183333333333334</v>
      </c>
      <c r="M108" s="364">
        <v>0</v>
      </c>
      <c r="N108" s="147">
        <f t="shared" si="7"/>
        <v>0</v>
      </c>
      <c r="O108" s="87">
        <v>2</v>
      </c>
      <c r="P108" s="335">
        <f t="shared" si="8"/>
        <v>6.8183333333333334</v>
      </c>
      <c r="Q108" s="338">
        <v>1</v>
      </c>
      <c r="R108" s="242">
        <f t="shared" si="9"/>
        <v>3.4091666666666667</v>
      </c>
      <c r="S108" s="341">
        <v>6</v>
      </c>
      <c r="T108" s="242">
        <f t="shared" si="10"/>
        <v>20.454999999999998</v>
      </c>
      <c r="U108" s="416">
        <v>0</v>
      </c>
      <c r="V108" s="242">
        <f t="shared" si="11"/>
        <v>0</v>
      </c>
      <c r="W108" s="336">
        <v>0</v>
      </c>
      <c r="X108" s="147">
        <f t="shared" si="12"/>
        <v>0</v>
      </c>
      <c r="Y108" s="87">
        <v>4</v>
      </c>
      <c r="Z108" s="147">
        <f t="shared" si="13"/>
        <v>13.636666666666667</v>
      </c>
      <c r="AA108" s="354">
        <v>0</v>
      </c>
      <c r="AB108" s="147">
        <f t="shared" si="14"/>
        <v>0</v>
      </c>
      <c r="AC108" s="87">
        <v>10</v>
      </c>
      <c r="AD108" s="147">
        <f t="shared" si="15"/>
        <v>34.091666666666669</v>
      </c>
      <c r="AE108" s="87">
        <v>1</v>
      </c>
      <c r="AF108" s="147">
        <f t="shared" si="16"/>
        <v>3.4091666666666667</v>
      </c>
    </row>
    <row r="109" spans="1:32" ht="86.5" customHeight="1" thickBot="1">
      <c r="A109" s="555" t="s">
        <v>258</v>
      </c>
      <c r="B109" s="555"/>
      <c r="C109" s="555"/>
      <c r="D109" s="555"/>
      <c r="E109" s="555"/>
      <c r="F109" s="87" t="s">
        <v>118</v>
      </c>
      <c r="G109" s="327">
        <v>6.87</v>
      </c>
      <c r="H109" s="240">
        <v>12</v>
      </c>
      <c r="I109" s="221">
        <v>10</v>
      </c>
      <c r="J109" s="241">
        <f t="shared" si="18"/>
        <v>5.73</v>
      </c>
      <c r="K109" s="362">
        <v>1</v>
      </c>
      <c r="L109" s="147">
        <f t="shared" si="6"/>
        <v>0.57250000000000001</v>
      </c>
      <c r="M109" s="368">
        <v>1</v>
      </c>
      <c r="N109" s="147">
        <f t="shared" si="7"/>
        <v>0.57250000000000001</v>
      </c>
      <c r="O109" s="221">
        <v>4</v>
      </c>
      <c r="P109" s="335">
        <f t="shared" si="8"/>
        <v>2.29</v>
      </c>
      <c r="Q109" s="339">
        <v>0</v>
      </c>
      <c r="R109" s="242">
        <f t="shared" si="9"/>
        <v>0</v>
      </c>
      <c r="S109" s="342">
        <v>10</v>
      </c>
      <c r="T109" s="242">
        <f t="shared" si="10"/>
        <v>5.7250000000000005</v>
      </c>
      <c r="U109" s="417">
        <v>0</v>
      </c>
      <c r="V109" s="242">
        <f t="shared" si="11"/>
        <v>0</v>
      </c>
      <c r="W109" s="221">
        <v>0</v>
      </c>
      <c r="X109" s="147">
        <f t="shared" si="12"/>
        <v>0</v>
      </c>
      <c r="Y109" s="221">
        <v>3</v>
      </c>
      <c r="Z109" s="147">
        <f t="shared" si="13"/>
        <v>1.7175</v>
      </c>
      <c r="AA109" s="358">
        <v>0</v>
      </c>
      <c r="AB109" s="147">
        <f t="shared" si="14"/>
        <v>0</v>
      </c>
      <c r="AC109" s="221">
        <v>0</v>
      </c>
      <c r="AD109" s="147">
        <f t="shared" si="15"/>
        <v>0</v>
      </c>
      <c r="AE109" s="221">
        <v>2</v>
      </c>
      <c r="AF109" s="147">
        <f t="shared" si="16"/>
        <v>1.145</v>
      </c>
    </row>
    <row r="110" spans="1:32" ht="20" customHeight="1" thickBot="1">
      <c r="A110" s="479" t="s">
        <v>200</v>
      </c>
      <c r="B110" s="480"/>
      <c r="C110" s="480"/>
      <c r="D110" s="480"/>
      <c r="E110" s="480"/>
      <c r="F110" s="480"/>
      <c r="G110" s="480"/>
      <c r="H110" s="521"/>
      <c r="I110" s="438">
        <f>SUM(J93:J109)</f>
        <v>372.00361111111113</v>
      </c>
      <c r="J110" s="439"/>
      <c r="K110" s="438">
        <f>SUM(L93:L109)</f>
        <v>46.248222222222225</v>
      </c>
      <c r="L110" s="439"/>
      <c r="M110" s="438">
        <f>SUM(N93:N109)</f>
        <v>16.458611111111111</v>
      </c>
      <c r="N110" s="439"/>
      <c r="O110" s="438">
        <f>SUM(P93:P109)</f>
        <v>321.464</v>
      </c>
      <c r="P110" s="439"/>
      <c r="Q110" s="438">
        <f>SUM(R93:R109)</f>
        <v>52.936277777777775</v>
      </c>
      <c r="R110" s="439"/>
      <c r="S110" s="438">
        <f>SUM(T93:T109)</f>
        <v>177.5613888888889</v>
      </c>
      <c r="T110" s="439"/>
      <c r="U110" s="438">
        <f>SUM(V93:V109)</f>
        <v>115.89166666666668</v>
      </c>
      <c r="V110" s="439"/>
      <c r="W110" s="438">
        <f>SUM(X93:X109)</f>
        <v>84.035277777777765</v>
      </c>
      <c r="X110" s="439"/>
      <c r="Y110" s="438">
        <f>SUM(Z93:Z109)</f>
        <v>407.78988888888881</v>
      </c>
      <c r="Z110" s="439"/>
      <c r="AA110" s="438">
        <f>SUM(AB93:AB109)</f>
        <v>313.14844444444446</v>
      </c>
      <c r="AB110" s="439"/>
      <c r="AC110" s="438">
        <f>SUM(AD93:AD109)</f>
        <v>275.24227777777776</v>
      </c>
      <c r="AD110" s="439"/>
      <c r="AE110" s="438">
        <f>SUM(AF93:AF109)</f>
        <v>121.26972222222221</v>
      </c>
      <c r="AF110" s="439"/>
    </row>
    <row r="111" spans="1:32" ht="20" customHeight="1" thickBot="1">
      <c r="A111" s="541" t="s">
        <v>304</v>
      </c>
      <c r="B111" s="444"/>
      <c r="C111" s="444"/>
      <c r="D111" s="444"/>
      <c r="E111" s="444"/>
      <c r="F111" s="444"/>
      <c r="G111" s="444"/>
      <c r="H111" s="445"/>
      <c r="I111" s="436">
        <v>5</v>
      </c>
      <c r="J111" s="437"/>
      <c r="K111" s="436">
        <v>1</v>
      </c>
      <c r="L111" s="437"/>
      <c r="M111" s="436">
        <v>1</v>
      </c>
      <c r="N111" s="437"/>
      <c r="O111" s="436">
        <v>2</v>
      </c>
      <c r="P111" s="437"/>
      <c r="Q111" s="436">
        <v>1</v>
      </c>
      <c r="R111" s="437"/>
      <c r="S111" s="436">
        <v>1</v>
      </c>
      <c r="T111" s="437"/>
      <c r="U111" s="334">
        <v>1</v>
      </c>
      <c r="V111" s="334"/>
      <c r="W111" s="436">
        <v>2</v>
      </c>
      <c r="X111" s="437"/>
      <c r="Y111" s="436">
        <v>1</v>
      </c>
      <c r="Z111" s="437"/>
      <c r="AA111" s="436">
        <v>1</v>
      </c>
      <c r="AB111" s="437"/>
      <c r="AC111" s="436">
        <v>3</v>
      </c>
      <c r="AD111" s="437"/>
      <c r="AE111" s="436">
        <v>1</v>
      </c>
      <c r="AF111" s="437"/>
    </row>
    <row r="112" spans="1:32" ht="20" customHeight="1" thickBot="1">
      <c r="A112" s="479" t="s">
        <v>305</v>
      </c>
      <c r="B112" s="480"/>
      <c r="C112" s="480"/>
      <c r="D112" s="480"/>
      <c r="E112" s="480"/>
      <c r="F112" s="480"/>
      <c r="G112" s="480"/>
      <c r="H112" s="480"/>
      <c r="I112" s="267">
        <f>I110/I111</f>
        <v>74.400722222222228</v>
      </c>
      <c r="J112" s="267"/>
      <c r="K112" s="267">
        <f t="shared" ref="K112" si="19">K110/K111</f>
        <v>46.248222222222225</v>
      </c>
      <c r="L112" s="267"/>
      <c r="M112" s="267">
        <f t="shared" ref="M112" si="20">M110/M111</f>
        <v>16.458611111111111</v>
      </c>
      <c r="N112" s="267"/>
      <c r="O112" s="267">
        <f t="shared" ref="O112:U112" si="21">O110/O111</f>
        <v>160.732</v>
      </c>
      <c r="P112" s="267"/>
      <c r="Q112" s="267">
        <f t="shared" si="21"/>
        <v>52.936277777777775</v>
      </c>
      <c r="R112" s="267"/>
      <c r="S112" s="267">
        <f t="shared" si="21"/>
        <v>177.5613888888889</v>
      </c>
      <c r="T112" s="267"/>
      <c r="U112" s="267">
        <f t="shared" si="21"/>
        <v>115.89166666666668</v>
      </c>
      <c r="V112" s="267"/>
      <c r="W112" s="267">
        <f t="shared" ref="W112" si="22">W110/W111</f>
        <v>42.017638888888882</v>
      </c>
      <c r="X112" s="267"/>
      <c r="Y112" s="267">
        <f t="shared" ref="Y112" si="23">Y110/Y111</f>
        <v>407.78988888888881</v>
      </c>
      <c r="Z112" s="267"/>
      <c r="AA112" s="267">
        <f t="shared" ref="AA112" si="24">AA110/AA111</f>
        <v>313.14844444444446</v>
      </c>
      <c r="AB112" s="267"/>
      <c r="AC112" s="267">
        <f t="shared" ref="AC112" si="25">AC110/AC111</f>
        <v>91.747425925925924</v>
      </c>
      <c r="AD112" s="267"/>
      <c r="AE112" s="267">
        <f t="shared" ref="AE112" si="26">AE110/AE111</f>
        <v>121.26972222222221</v>
      </c>
      <c r="AF112" s="267"/>
    </row>
    <row r="113" spans="1:12" ht="20" customHeight="1" thickBot="1">
      <c r="A113" s="143"/>
      <c r="B113" s="143"/>
      <c r="C113" s="143"/>
      <c r="D113" s="143"/>
      <c r="E113" s="143"/>
      <c r="F113" s="143"/>
      <c r="G113" s="143"/>
      <c r="H113" s="143"/>
      <c r="I113" s="143"/>
      <c r="J113" s="143"/>
      <c r="L113" s="150"/>
    </row>
    <row r="114" spans="1:12" ht="20" customHeight="1" thickBot="1">
      <c r="A114" s="456" t="s">
        <v>93</v>
      </c>
      <c r="B114" s="483"/>
      <c r="C114" s="483"/>
      <c r="D114" s="483"/>
      <c r="E114" s="483"/>
      <c r="F114" s="483"/>
      <c r="G114" s="483"/>
      <c r="H114" s="483"/>
      <c r="I114" s="484"/>
      <c r="J114" s="146" t="s">
        <v>35</v>
      </c>
      <c r="K114" s="430" t="s">
        <v>400</v>
      </c>
      <c r="L114" s="431"/>
    </row>
    <row r="115" spans="1:12" ht="20" customHeight="1" thickBot="1">
      <c r="A115" s="132" t="s">
        <v>27</v>
      </c>
      <c r="B115" s="485" t="s">
        <v>260</v>
      </c>
      <c r="C115" s="485"/>
      <c r="D115" s="485"/>
      <c r="E115" s="485"/>
      <c r="F115" s="485"/>
      <c r="G115" s="485"/>
      <c r="H115" s="485"/>
      <c r="I115" s="486"/>
      <c r="J115" s="145">
        <v>0.05</v>
      </c>
      <c r="K115" s="432"/>
      <c r="L115" s="433"/>
    </row>
    <row r="116" spans="1:12" ht="20" customHeight="1" thickBot="1">
      <c r="A116" s="61" t="s">
        <v>37</v>
      </c>
      <c r="B116" s="487" t="s">
        <v>261</v>
      </c>
      <c r="C116" s="487"/>
      <c r="D116" s="487"/>
      <c r="E116" s="488"/>
      <c r="F116" s="488"/>
      <c r="G116" s="488"/>
      <c r="H116" s="487"/>
      <c r="I116" s="489"/>
      <c r="J116" s="144">
        <v>0.05</v>
      </c>
      <c r="K116" s="434"/>
      <c r="L116" s="435"/>
    </row>
    <row r="117" spans="1:12" ht="20" customHeight="1">
      <c r="A117" s="46"/>
      <c r="B117" s="82"/>
      <c r="C117" s="131"/>
      <c r="D117" s="131"/>
      <c r="E117" s="490" t="s">
        <v>96</v>
      </c>
      <c r="F117" s="491"/>
      <c r="G117" s="261" t="s">
        <v>97</v>
      </c>
      <c r="H117" s="492" t="s">
        <v>399</v>
      </c>
      <c r="I117" s="493"/>
    </row>
    <row r="118" spans="1:12" ht="20" customHeight="1">
      <c r="A118" s="126" t="s">
        <v>44</v>
      </c>
      <c r="B118" s="478" t="s">
        <v>191</v>
      </c>
      <c r="C118" s="478"/>
      <c r="D118" s="478"/>
      <c r="E118" s="262" t="s">
        <v>99</v>
      </c>
      <c r="F118" s="85" cm="1">
        <f t="array" ref="F118">IF($G$117="Real",0.0165,IF($G$117="Presumido",0.0065,ERRO))</f>
        <v>1.6500000000000001E-2</v>
      </c>
      <c r="G118" s="481">
        <f>SUM(F118:F120)</f>
        <v>0.1125</v>
      </c>
      <c r="H118" s="494"/>
      <c r="I118" s="495"/>
    </row>
    <row r="119" spans="1:12" ht="20" customHeight="1">
      <c r="A119" s="126"/>
      <c r="B119" s="478"/>
      <c r="C119" s="478"/>
      <c r="D119" s="478"/>
      <c r="E119" s="262" t="s">
        <v>101</v>
      </c>
      <c r="F119" s="85" cm="1">
        <f t="array" ref="F119">IF($G$117="Real",0.076,IF($G$117="Presumido",0.03,ERRO))</f>
        <v>7.5999999999999998E-2</v>
      </c>
      <c r="G119" s="482"/>
      <c r="H119" s="494"/>
      <c r="I119" s="495"/>
    </row>
    <row r="120" spans="1:12" ht="20" customHeight="1">
      <c r="A120" s="126"/>
      <c r="B120" s="478" t="s">
        <v>219</v>
      </c>
      <c r="C120" s="478"/>
      <c r="D120" s="478"/>
      <c r="E120" s="262" t="s">
        <v>103</v>
      </c>
      <c r="F120" s="85">
        <v>0.02</v>
      </c>
      <c r="G120" s="482"/>
      <c r="H120" s="496"/>
      <c r="I120" s="497"/>
    </row>
    <row r="121" spans="1:12" ht="14.5">
      <c r="A121" s="264"/>
      <c r="B121" s="478" t="s">
        <v>300</v>
      </c>
      <c r="C121" s="478"/>
      <c r="D121" s="478"/>
      <c r="E121" s="260" t="s">
        <v>103</v>
      </c>
      <c r="F121" s="268">
        <v>0.05</v>
      </c>
      <c r="G121" s="263">
        <f>SUM(F118:F119,F121)</f>
        <v>0.14250000000000002</v>
      </c>
      <c r="H121" s="496"/>
      <c r="I121" s="497"/>
    </row>
    <row r="122" spans="1:12" ht="15" thickBot="1">
      <c r="A122" s="264"/>
      <c r="B122" s="478" t="s">
        <v>301</v>
      </c>
      <c r="C122" s="478"/>
      <c r="D122" s="478"/>
      <c r="E122" s="260" t="s">
        <v>103</v>
      </c>
      <c r="F122" s="268">
        <v>0.03</v>
      </c>
      <c r="G122" s="263">
        <f>SUM(F118:F119,F122)</f>
        <v>0.1225</v>
      </c>
      <c r="H122" s="498"/>
      <c r="I122" s="499"/>
    </row>
    <row r="123" spans="1:12" ht="14.5">
      <c r="A123" s="264"/>
      <c r="B123" s="478" t="s">
        <v>302</v>
      </c>
      <c r="C123" s="478"/>
      <c r="D123" s="478"/>
      <c r="E123" s="260" t="s">
        <v>103</v>
      </c>
      <c r="F123" s="268">
        <v>0.03</v>
      </c>
      <c r="G123" s="263">
        <f>SUM(F118:F119,F123)</f>
        <v>0.1225</v>
      </c>
    </row>
  </sheetData>
  <mergeCells count="237">
    <mergeCell ref="G31:H31"/>
    <mergeCell ref="G32:H32"/>
    <mergeCell ref="G36:H36"/>
    <mergeCell ref="G37:H37"/>
    <mergeCell ref="G38:H38"/>
    <mergeCell ref="G39:H39"/>
    <mergeCell ref="A33:B33"/>
    <mergeCell ref="A35:B35"/>
    <mergeCell ref="E33:F33"/>
    <mergeCell ref="E34:F34"/>
    <mergeCell ref="E35:F35"/>
    <mergeCell ref="E32:F32"/>
    <mergeCell ref="E40:F40"/>
    <mergeCell ref="A1:K1"/>
    <mergeCell ref="A17:J17"/>
    <mergeCell ref="B18:J18"/>
    <mergeCell ref="J6:K6"/>
    <mergeCell ref="B6:I6"/>
    <mergeCell ref="J7:K7"/>
    <mergeCell ref="B7:I7"/>
    <mergeCell ref="G28:H28"/>
    <mergeCell ref="E28:F28"/>
    <mergeCell ref="A28:B28"/>
    <mergeCell ref="B19:J19"/>
    <mergeCell ref="B20:J20"/>
    <mergeCell ref="A21:J21"/>
    <mergeCell ref="B14:J14"/>
    <mergeCell ref="B13:J13"/>
    <mergeCell ref="B15:J15"/>
    <mergeCell ref="A12:K12"/>
    <mergeCell ref="A3:C4"/>
    <mergeCell ref="A26:J26"/>
    <mergeCell ref="I28:J28"/>
    <mergeCell ref="E30:F30"/>
    <mergeCell ref="E31:F31"/>
    <mergeCell ref="A38:B38"/>
    <mergeCell ref="G40:H40"/>
    <mergeCell ref="I40:J40"/>
    <mergeCell ref="A42:J42"/>
    <mergeCell ref="B47:I47"/>
    <mergeCell ref="B44:J44"/>
    <mergeCell ref="B45:I45"/>
    <mergeCell ref="A111:H111"/>
    <mergeCell ref="K53:K54"/>
    <mergeCell ref="K50:K51"/>
    <mergeCell ref="K45:K47"/>
    <mergeCell ref="B54:I54"/>
    <mergeCell ref="G64:I64"/>
    <mergeCell ref="A76:E76"/>
    <mergeCell ref="A77:E77"/>
    <mergeCell ref="A79:E79"/>
    <mergeCell ref="A80:E80"/>
    <mergeCell ref="A81:E81"/>
    <mergeCell ref="B49:J49"/>
    <mergeCell ref="B50:I50"/>
    <mergeCell ref="B51:I51"/>
    <mergeCell ref="B52:J52"/>
    <mergeCell ref="B53:I53"/>
    <mergeCell ref="B43:J43"/>
    <mergeCell ref="A40:B40"/>
    <mergeCell ref="D3:K3"/>
    <mergeCell ref="D4:K4"/>
    <mergeCell ref="J8:K8"/>
    <mergeCell ref="J9:K9"/>
    <mergeCell ref="J10:K10"/>
    <mergeCell ref="A25:M25"/>
    <mergeCell ref="A39:B39"/>
    <mergeCell ref="E29:F29"/>
    <mergeCell ref="A23:J23"/>
    <mergeCell ref="H24:J24"/>
    <mergeCell ref="B27:J27"/>
    <mergeCell ref="A29:B29"/>
    <mergeCell ref="A30:B30"/>
    <mergeCell ref="A31:B31"/>
    <mergeCell ref="A32:B32"/>
    <mergeCell ref="A36:B36"/>
    <mergeCell ref="G33:H33"/>
    <mergeCell ref="E36:F36"/>
    <mergeCell ref="E37:F37"/>
    <mergeCell ref="E38:F38"/>
    <mergeCell ref="E39:F39"/>
    <mergeCell ref="G29:H29"/>
    <mergeCell ref="G30:H30"/>
    <mergeCell ref="A37:B37"/>
    <mergeCell ref="A94:E94"/>
    <mergeCell ref="A91:E92"/>
    <mergeCell ref="F91:F92"/>
    <mergeCell ref="G91:G92"/>
    <mergeCell ref="H91:H92"/>
    <mergeCell ref="A72:J73"/>
    <mergeCell ref="A78:E78"/>
    <mergeCell ref="A82:E82"/>
    <mergeCell ref="A83:E83"/>
    <mergeCell ref="A85:E85"/>
    <mergeCell ref="W90:X90"/>
    <mergeCell ref="W91:W92"/>
    <mergeCell ref="X91:X92"/>
    <mergeCell ref="W110:X110"/>
    <mergeCell ref="W111:X111"/>
    <mergeCell ref="B55:J55"/>
    <mergeCell ref="A34:B34"/>
    <mergeCell ref="O91:O92"/>
    <mergeCell ref="P91:P92"/>
    <mergeCell ref="O110:P110"/>
    <mergeCell ref="A97:E97"/>
    <mergeCell ref="A98:E98"/>
    <mergeCell ref="A101:E101"/>
    <mergeCell ref="E70:F70"/>
    <mergeCell ref="G66:I66"/>
    <mergeCell ref="A108:E108"/>
    <mergeCell ref="A109:E109"/>
    <mergeCell ref="A84:E84"/>
    <mergeCell ref="A89:H90"/>
    <mergeCell ref="A93:E93"/>
    <mergeCell ref="I111:J111"/>
    <mergeCell ref="I110:J110"/>
    <mergeCell ref="E66:F66"/>
    <mergeCell ref="B70:D70"/>
    <mergeCell ref="AE90:AF90"/>
    <mergeCell ref="AE91:AE92"/>
    <mergeCell ref="AF91:AF92"/>
    <mergeCell ref="AE110:AF110"/>
    <mergeCell ref="AE111:AF111"/>
    <mergeCell ref="Y91:Y92"/>
    <mergeCell ref="Z91:Z92"/>
    <mergeCell ref="Y110:Z110"/>
    <mergeCell ref="Y111:Z111"/>
    <mergeCell ref="AA90:AB90"/>
    <mergeCell ref="AA91:AA92"/>
    <mergeCell ref="AB91:AB92"/>
    <mergeCell ref="AA110:AB110"/>
    <mergeCell ref="AA111:AB111"/>
    <mergeCell ref="AC91:AC92"/>
    <mergeCell ref="AD91:AD92"/>
    <mergeCell ref="AC110:AD110"/>
    <mergeCell ref="AC90:AD90"/>
    <mergeCell ref="Y90:Z90"/>
    <mergeCell ref="AC111:AD111"/>
    <mergeCell ref="I29:J29"/>
    <mergeCell ref="I30:J30"/>
    <mergeCell ref="I31:J31"/>
    <mergeCell ref="I32:J32"/>
    <mergeCell ref="I36:J36"/>
    <mergeCell ref="I37:J37"/>
    <mergeCell ref="I38:J38"/>
    <mergeCell ref="I39:J39"/>
    <mergeCell ref="I56:J56"/>
    <mergeCell ref="A110:H110"/>
    <mergeCell ref="A103:E103"/>
    <mergeCell ref="A104:E104"/>
    <mergeCell ref="A105:E105"/>
    <mergeCell ref="A106:E106"/>
    <mergeCell ref="A102:E102"/>
    <mergeCell ref="A95:E95"/>
    <mergeCell ref="A96:E96"/>
    <mergeCell ref="E64:F64"/>
    <mergeCell ref="B64:D64"/>
    <mergeCell ref="A99:E99"/>
    <mergeCell ref="A100:E100"/>
    <mergeCell ref="A71:M71"/>
    <mergeCell ref="J74:J75"/>
    <mergeCell ref="I74:I75"/>
    <mergeCell ref="G68:I68"/>
    <mergeCell ref="G69:I69"/>
    <mergeCell ref="H74:H75"/>
    <mergeCell ref="G74:G75"/>
    <mergeCell ref="F74:F75"/>
    <mergeCell ref="G70:I70"/>
    <mergeCell ref="I90:J90"/>
    <mergeCell ref="B67:D67"/>
    <mergeCell ref="A107:E107"/>
    <mergeCell ref="A59:I59"/>
    <mergeCell ref="B60:E60"/>
    <mergeCell ref="F60:G60"/>
    <mergeCell ref="A63:J63"/>
    <mergeCell ref="A62:J62"/>
    <mergeCell ref="G67:I67"/>
    <mergeCell ref="E67:F67"/>
    <mergeCell ref="B46:I46"/>
    <mergeCell ref="B48:J48"/>
    <mergeCell ref="B57:F57"/>
    <mergeCell ref="B122:D122"/>
    <mergeCell ref="B123:D123"/>
    <mergeCell ref="A112:H112"/>
    <mergeCell ref="B121:D121"/>
    <mergeCell ref="B120:D120"/>
    <mergeCell ref="B118:D119"/>
    <mergeCell ref="G118:G120"/>
    <mergeCell ref="A114:I114"/>
    <mergeCell ref="B115:I115"/>
    <mergeCell ref="B116:I116"/>
    <mergeCell ref="E117:F117"/>
    <mergeCell ref="H117:I122"/>
    <mergeCell ref="U91:U92"/>
    <mergeCell ref="U110:V110"/>
    <mergeCell ref="V91:V92"/>
    <mergeCell ref="G34:H34"/>
    <mergeCell ref="G35:H35"/>
    <mergeCell ref="I33:J33"/>
    <mergeCell ref="I34:J34"/>
    <mergeCell ref="I35:J35"/>
    <mergeCell ref="Q90:R90"/>
    <mergeCell ref="S90:T90"/>
    <mergeCell ref="U90:V90"/>
    <mergeCell ref="O90:P90"/>
    <mergeCell ref="A61:K61"/>
    <mergeCell ref="A86:E86"/>
    <mergeCell ref="A74:E75"/>
    <mergeCell ref="A87:I87"/>
    <mergeCell ref="B68:D68"/>
    <mergeCell ref="E68:F68"/>
    <mergeCell ref="B69:D69"/>
    <mergeCell ref="E69:F69"/>
    <mergeCell ref="E65:F65"/>
    <mergeCell ref="G65:I65"/>
    <mergeCell ref="B65:D65"/>
    <mergeCell ref="B66:D66"/>
    <mergeCell ref="K90:L90"/>
    <mergeCell ref="K91:K92"/>
    <mergeCell ref="L91:L92"/>
    <mergeCell ref="K110:L110"/>
    <mergeCell ref="K111:L111"/>
    <mergeCell ref="M90:N90"/>
    <mergeCell ref="M91:M92"/>
    <mergeCell ref="N91:N92"/>
    <mergeCell ref="M110:N110"/>
    <mergeCell ref="M111:N111"/>
    <mergeCell ref="K114:L116"/>
    <mergeCell ref="Q111:R111"/>
    <mergeCell ref="Q110:R110"/>
    <mergeCell ref="S111:T111"/>
    <mergeCell ref="S110:T110"/>
    <mergeCell ref="Q91:Q92"/>
    <mergeCell ref="R91:R92"/>
    <mergeCell ref="S91:S92"/>
    <mergeCell ref="T91:T92"/>
    <mergeCell ref="O111:P111"/>
  </mergeCells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ignoredErrors>
    <ignoredError sqref="G118" formulaRange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Orientações!$A$30:$A$31</xm:f>
          </x14:formula1>
          <xm:sqref>G117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5">
    <tabColor rgb="FFFFFF00"/>
  </sheetPr>
  <dimension ref="A1:AA52"/>
  <sheetViews>
    <sheetView showGridLines="0" topLeftCell="A34" zoomScale="90" zoomScaleNormal="90" workbookViewId="0">
      <selection activeCell="B38" sqref="B38:D38"/>
    </sheetView>
  </sheetViews>
  <sheetFormatPr defaultColWidth="7.6640625" defaultRowHeight="14.5"/>
  <cols>
    <col min="1" max="1" width="56.9140625" style="160" customWidth="1"/>
    <col min="2" max="2" width="15.33203125" style="160" customWidth="1"/>
    <col min="3" max="3" width="11.4140625" style="160" customWidth="1"/>
    <col min="4" max="4" width="11.58203125" style="160" customWidth="1"/>
    <col min="5" max="5" width="11.5" style="160" bestFit="1" customWidth="1"/>
    <col min="6" max="6" width="11.9140625" style="160" customWidth="1"/>
    <col min="7" max="7" width="12.08203125" style="160" customWidth="1"/>
    <col min="8" max="8" width="7.6640625" style="160"/>
    <col min="9" max="9" width="10.83203125" style="160" customWidth="1"/>
    <col min="10" max="10" width="7.6640625" style="160"/>
    <col min="11" max="11" width="18" style="160" customWidth="1"/>
    <col min="12" max="17" width="12" style="210" customWidth="1"/>
    <col min="18" max="18" width="7.6640625" style="160"/>
    <col min="19" max="19" width="9.83203125" style="160" customWidth="1"/>
    <col min="20" max="20" width="7.6640625" style="160"/>
    <col min="21" max="21" width="11.6640625" style="160" customWidth="1"/>
    <col min="22" max="22" width="7.6640625" style="160"/>
    <col min="23" max="23" width="10.4140625" style="160" customWidth="1"/>
    <col min="24" max="24" width="7.6640625" style="160"/>
    <col min="25" max="25" width="10.58203125" style="160" customWidth="1"/>
    <col min="26" max="26" width="7.6640625" style="160"/>
    <col min="27" max="27" width="10.6640625" style="160" customWidth="1"/>
    <col min="28" max="16384" width="7.6640625" style="160"/>
  </cols>
  <sheetData>
    <row r="1" spans="1:27" ht="40.25" customHeight="1" thickBot="1">
      <c r="A1" s="642" t="s">
        <v>202</v>
      </c>
      <c r="B1" s="643"/>
      <c r="C1" s="643"/>
      <c r="D1" s="643"/>
      <c r="E1" s="644"/>
    </row>
    <row r="2" spans="1:27" ht="24" customHeight="1" thickBot="1">
      <c r="A2" s="645" t="s">
        <v>201</v>
      </c>
      <c r="B2" s="646"/>
      <c r="C2" s="647"/>
      <c r="D2" s="647"/>
      <c r="E2" s="647"/>
    </row>
    <row r="3" spans="1:27" ht="27.65" customHeight="1">
      <c r="A3" s="648" t="s">
        <v>114</v>
      </c>
      <c r="B3" s="650" t="s">
        <v>116</v>
      </c>
      <c r="C3" s="651" t="s">
        <v>125</v>
      </c>
      <c r="D3" s="632" t="s">
        <v>382</v>
      </c>
      <c r="E3" s="633"/>
      <c r="F3" s="632" t="s">
        <v>311</v>
      </c>
      <c r="G3" s="633"/>
      <c r="H3" s="632" t="s">
        <v>312</v>
      </c>
      <c r="I3" s="633"/>
      <c r="J3" s="632" t="s">
        <v>396</v>
      </c>
      <c r="K3" s="633"/>
      <c r="L3" s="632" t="s">
        <v>377</v>
      </c>
      <c r="M3" s="633"/>
      <c r="N3" s="632" t="s">
        <v>378</v>
      </c>
      <c r="O3" s="633"/>
      <c r="P3" s="632" t="s">
        <v>379</v>
      </c>
      <c r="Q3" s="633"/>
      <c r="R3" s="632" t="s">
        <v>352</v>
      </c>
      <c r="S3" s="633"/>
      <c r="T3" s="636" t="s">
        <v>351</v>
      </c>
      <c r="U3" s="637"/>
      <c r="V3" s="632" t="s">
        <v>380</v>
      </c>
      <c r="W3" s="633"/>
      <c r="X3" s="634" t="s">
        <v>357</v>
      </c>
      <c r="Y3" s="635"/>
      <c r="Z3" s="634" t="s">
        <v>381</v>
      </c>
      <c r="AA3" s="635"/>
    </row>
    <row r="4" spans="1:27" ht="44" thickBot="1">
      <c r="A4" s="649"/>
      <c r="B4" s="650"/>
      <c r="C4" s="652"/>
      <c r="D4" s="225" t="s">
        <v>126</v>
      </c>
      <c r="E4" s="225" t="s">
        <v>117</v>
      </c>
      <c r="F4" s="225" t="s">
        <v>126</v>
      </c>
      <c r="G4" s="225" t="s">
        <v>117</v>
      </c>
      <c r="H4" s="225" t="s">
        <v>126</v>
      </c>
      <c r="I4" s="225" t="s">
        <v>117</v>
      </c>
      <c r="J4" s="225" t="s">
        <v>126</v>
      </c>
      <c r="K4" s="370" t="s">
        <v>117</v>
      </c>
      <c r="L4" s="384" t="s">
        <v>126</v>
      </c>
      <c r="M4" s="370" t="s">
        <v>117</v>
      </c>
      <c r="N4" s="384" t="s">
        <v>126</v>
      </c>
      <c r="O4" s="370" t="s">
        <v>117</v>
      </c>
      <c r="P4" s="332" t="s">
        <v>126</v>
      </c>
      <c r="Q4" s="370" t="s">
        <v>117</v>
      </c>
      <c r="R4" s="332" t="s">
        <v>126</v>
      </c>
      <c r="S4" s="225" t="s">
        <v>117</v>
      </c>
      <c r="T4" s="225" t="s">
        <v>126</v>
      </c>
      <c r="U4" s="225" t="s">
        <v>117</v>
      </c>
      <c r="V4" s="225" t="s">
        <v>126</v>
      </c>
      <c r="W4" s="225" t="s">
        <v>117</v>
      </c>
      <c r="X4" s="225" t="s">
        <v>126</v>
      </c>
      <c r="Y4" s="225" t="s">
        <v>117</v>
      </c>
      <c r="Z4" s="225" t="s">
        <v>126</v>
      </c>
      <c r="AA4" s="225" t="s">
        <v>117</v>
      </c>
    </row>
    <row r="5" spans="1:27" s="210" customFormat="1" ht="16" thickBot="1">
      <c r="A5" s="161" t="s">
        <v>231</v>
      </c>
      <c r="B5" s="162" t="s">
        <v>234</v>
      </c>
      <c r="C5" s="166">
        <v>1.49</v>
      </c>
      <c r="D5" s="256">
        <v>0</v>
      </c>
      <c r="E5" s="363">
        <f>C5*D5</f>
        <v>0</v>
      </c>
      <c r="F5" s="404">
        <v>0</v>
      </c>
      <c r="G5" s="172">
        <f>F5*C5</f>
        <v>0</v>
      </c>
      <c r="H5" s="410">
        <v>0</v>
      </c>
      <c r="I5" s="172">
        <f>H5*C5</f>
        <v>0</v>
      </c>
      <c r="J5" s="381">
        <v>0</v>
      </c>
      <c r="K5" s="363">
        <f>J5*C5</f>
        <v>0</v>
      </c>
      <c r="L5" s="383">
        <v>0</v>
      </c>
      <c r="M5" s="387">
        <f>L5*C5</f>
        <v>0</v>
      </c>
      <c r="N5" s="388">
        <v>12</v>
      </c>
      <c r="O5" s="385">
        <f>N5*C5</f>
        <v>17.88</v>
      </c>
      <c r="P5" s="418">
        <v>8</v>
      </c>
      <c r="Q5" s="375">
        <f>P5*C5</f>
        <v>11.92</v>
      </c>
      <c r="R5" s="371">
        <v>0</v>
      </c>
      <c r="S5" s="172">
        <f>R5*C5</f>
        <v>0</v>
      </c>
      <c r="T5" s="389">
        <v>500</v>
      </c>
      <c r="U5" s="172">
        <f>T5*C5</f>
        <v>745</v>
      </c>
      <c r="V5" s="395">
        <v>0</v>
      </c>
      <c r="W5" s="172">
        <f>V5*C5</f>
        <v>0</v>
      </c>
      <c r="X5" s="256">
        <v>0</v>
      </c>
      <c r="Y5" s="172">
        <f>X5*C5</f>
        <v>0</v>
      </c>
      <c r="Z5" s="256">
        <v>0</v>
      </c>
      <c r="AA5" s="172">
        <f>Z5*C5</f>
        <v>0</v>
      </c>
    </row>
    <row r="6" spans="1:27" s="210" customFormat="1" ht="16" thickBot="1">
      <c r="A6" s="161" t="s">
        <v>232</v>
      </c>
      <c r="B6" s="162" t="s">
        <v>235</v>
      </c>
      <c r="C6" s="166">
        <v>15.66</v>
      </c>
      <c r="D6" s="224">
        <v>0</v>
      </c>
      <c r="E6" s="363">
        <f t="shared" ref="E6:E7" si="0">C6*D6</f>
        <v>0</v>
      </c>
      <c r="F6" s="405">
        <v>0</v>
      </c>
      <c r="G6" s="172">
        <f t="shared" ref="G6:G33" si="1">F6*C6</f>
        <v>0</v>
      </c>
      <c r="H6" s="411">
        <v>0</v>
      </c>
      <c r="I6" s="172">
        <f t="shared" ref="I6:I33" si="2">H6*C6</f>
        <v>0</v>
      </c>
      <c r="J6" s="380">
        <v>0</v>
      </c>
      <c r="K6" s="363">
        <f t="shared" ref="K6:K33" si="3">J6*C6</f>
        <v>0</v>
      </c>
      <c r="L6" s="382">
        <v>0</v>
      </c>
      <c r="M6" s="387">
        <f t="shared" ref="M6:M33" si="4">L6*C6</f>
        <v>0</v>
      </c>
      <c r="N6" s="386">
        <v>0</v>
      </c>
      <c r="O6" s="385">
        <f t="shared" ref="O6:O33" si="5">N6*C6</f>
        <v>0</v>
      </c>
      <c r="P6" s="371">
        <v>0</v>
      </c>
      <c r="Q6" s="375">
        <f t="shared" ref="Q6:Q33" si="6">P6*C6</f>
        <v>0</v>
      </c>
      <c r="R6" s="372">
        <f>1800/12</f>
        <v>150</v>
      </c>
      <c r="S6" s="172">
        <f t="shared" ref="S6:S33" si="7">R6*C6</f>
        <v>2349</v>
      </c>
      <c r="T6" s="390">
        <v>100</v>
      </c>
      <c r="U6" s="172">
        <f t="shared" ref="U6:U33" si="8">T6*C6</f>
        <v>1566</v>
      </c>
      <c r="V6" s="396">
        <v>15</v>
      </c>
      <c r="W6" s="172">
        <f t="shared" ref="W6:W33" si="9">V6*C6</f>
        <v>234.9</v>
      </c>
      <c r="X6" s="224">
        <v>120</v>
      </c>
      <c r="Y6" s="172">
        <f t="shared" ref="Y6:Y33" si="10">X6*C6</f>
        <v>1879.2</v>
      </c>
      <c r="Z6" s="224">
        <v>0</v>
      </c>
      <c r="AA6" s="172">
        <f t="shared" ref="AA6:AA33" si="11">Z6*C6</f>
        <v>0</v>
      </c>
    </row>
    <row r="7" spans="1:27" s="210" customFormat="1" ht="16" thickBot="1">
      <c r="A7" s="161" t="s">
        <v>233</v>
      </c>
      <c r="B7" s="170" t="s">
        <v>234</v>
      </c>
      <c r="C7" s="166">
        <v>2.62</v>
      </c>
      <c r="D7" s="224">
        <v>5</v>
      </c>
      <c r="E7" s="363">
        <f t="shared" si="0"/>
        <v>13.100000000000001</v>
      </c>
      <c r="F7" s="405">
        <v>0</v>
      </c>
      <c r="G7" s="172">
        <f t="shared" si="1"/>
        <v>0</v>
      </c>
      <c r="H7" s="411">
        <v>0</v>
      </c>
      <c r="I7" s="172">
        <f t="shared" si="2"/>
        <v>0</v>
      </c>
      <c r="J7" s="380">
        <v>0</v>
      </c>
      <c r="K7" s="363">
        <f t="shared" si="3"/>
        <v>0</v>
      </c>
      <c r="L7" s="383">
        <v>0</v>
      </c>
      <c r="M7" s="387">
        <f t="shared" si="4"/>
        <v>0</v>
      </c>
      <c r="N7" s="388">
        <v>0</v>
      </c>
      <c r="O7" s="385">
        <f t="shared" si="5"/>
        <v>0</v>
      </c>
      <c r="P7" s="418">
        <v>0</v>
      </c>
      <c r="Q7" s="375">
        <f t="shared" si="6"/>
        <v>0</v>
      </c>
      <c r="R7" s="372">
        <f>400/12</f>
        <v>33.333333333333336</v>
      </c>
      <c r="S7" s="172">
        <f t="shared" si="7"/>
        <v>87.333333333333343</v>
      </c>
      <c r="T7" s="390">
        <v>0</v>
      </c>
      <c r="U7" s="172">
        <f t="shared" si="8"/>
        <v>0</v>
      </c>
      <c r="V7" s="396">
        <v>0</v>
      </c>
      <c r="W7" s="172">
        <f t="shared" si="9"/>
        <v>0</v>
      </c>
      <c r="X7" s="224">
        <v>0</v>
      </c>
      <c r="Y7" s="172">
        <f t="shared" si="10"/>
        <v>0</v>
      </c>
      <c r="Z7" s="224">
        <v>0</v>
      </c>
      <c r="AA7" s="172">
        <f t="shared" si="11"/>
        <v>0</v>
      </c>
    </row>
    <row r="8" spans="1:27" ht="35" customHeight="1">
      <c r="A8" s="169" t="s">
        <v>149</v>
      </c>
      <c r="B8" s="170" t="s">
        <v>127</v>
      </c>
      <c r="C8" s="166">
        <v>4.5999999999999996</v>
      </c>
      <c r="D8" s="171">
        <v>110</v>
      </c>
      <c r="E8" s="363">
        <f t="shared" ref="E8:E33" si="12">C8*D8</f>
        <v>505.99999999999994</v>
      </c>
      <c r="F8" s="405">
        <v>15</v>
      </c>
      <c r="G8" s="172">
        <f t="shared" si="1"/>
        <v>69</v>
      </c>
      <c r="H8" s="412">
        <v>15</v>
      </c>
      <c r="I8" s="172">
        <f t="shared" si="2"/>
        <v>69</v>
      </c>
      <c r="J8" s="376">
        <f>63+5+5</f>
        <v>73</v>
      </c>
      <c r="K8" s="363">
        <f t="shared" si="3"/>
        <v>335.79999999999995</v>
      </c>
      <c r="L8" s="382">
        <v>12</v>
      </c>
      <c r="M8" s="387">
        <f t="shared" si="4"/>
        <v>55.199999999999996</v>
      </c>
      <c r="N8" s="386">
        <v>20</v>
      </c>
      <c r="O8" s="385">
        <f t="shared" si="5"/>
        <v>92</v>
      </c>
      <c r="P8" s="371">
        <v>12</v>
      </c>
      <c r="Q8" s="375">
        <f t="shared" si="6"/>
        <v>55.199999999999996</v>
      </c>
      <c r="R8" s="371">
        <v>25</v>
      </c>
      <c r="S8" s="172">
        <f t="shared" si="7"/>
        <v>114.99999999999999</v>
      </c>
      <c r="T8" s="391">
        <v>60</v>
      </c>
      <c r="U8" s="172">
        <f t="shared" si="8"/>
        <v>276</v>
      </c>
      <c r="V8" s="397">
        <v>40</v>
      </c>
      <c r="W8" s="172">
        <f t="shared" si="9"/>
        <v>184</v>
      </c>
      <c r="X8" s="171">
        <v>30</v>
      </c>
      <c r="Y8" s="172">
        <f t="shared" si="10"/>
        <v>138</v>
      </c>
      <c r="Z8" s="171">
        <v>20</v>
      </c>
      <c r="AA8" s="172">
        <f t="shared" si="11"/>
        <v>92</v>
      </c>
    </row>
    <row r="9" spans="1:27" ht="35" customHeight="1">
      <c r="A9" s="161" t="s">
        <v>128</v>
      </c>
      <c r="B9" s="162" t="s">
        <v>118</v>
      </c>
      <c r="C9" s="166">
        <v>15.22</v>
      </c>
      <c r="D9" s="167">
        <v>10</v>
      </c>
      <c r="E9" s="401">
        <f t="shared" si="12"/>
        <v>152.20000000000002</v>
      </c>
      <c r="F9" s="405">
        <v>0</v>
      </c>
      <c r="G9" s="172">
        <f t="shared" si="1"/>
        <v>0</v>
      </c>
      <c r="H9" s="413">
        <v>0</v>
      </c>
      <c r="I9" s="172">
        <f t="shared" si="2"/>
        <v>0</v>
      </c>
      <c r="J9" s="379">
        <v>10</v>
      </c>
      <c r="K9" s="363">
        <f t="shared" si="3"/>
        <v>152.20000000000002</v>
      </c>
      <c r="L9" s="383">
        <v>3</v>
      </c>
      <c r="M9" s="387">
        <f t="shared" si="4"/>
        <v>45.660000000000004</v>
      </c>
      <c r="N9" s="388">
        <v>6</v>
      </c>
      <c r="O9" s="385">
        <f t="shared" si="5"/>
        <v>91.320000000000007</v>
      </c>
      <c r="P9" s="371">
        <v>2</v>
      </c>
      <c r="Q9" s="375">
        <f t="shared" si="6"/>
        <v>30.44</v>
      </c>
      <c r="R9" s="372">
        <v>0</v>
      </c>
      <c r="S9" s="172">
        <f t="shared" si="7"/>
        <v>0</v>
      </c>
      <c r="T9" s="392">
        <v>12</v>
      </c>
      <c r="U9" s="172">
        <f t="shared" si="8"/>
        <v>182.64000000000001</v>
      </c>
      <c r="V9" s="398">
        <v>6</v>
      </c>
      <c r="W9" s="172">
        <f t="shared" si="9"/>
        <v>91.320000000000007</v>
      </c>
      <c r="X9" s="167">
        <v>2</v>
      </c>
      <c r="Y9" s="172">
        <f t="shared" si="10"/>
        <v>30.44</v>
      </c>
      <c r="Z9" s="167">
        <v>6</v>
      </c>
      <c r="AA9" s="172">
        <f t="shared" si="11"/>
        <v>91.320000000000007</v>
      </c>
    </row>
    <row r="10" spans="1:27" s="210" customFormat="1" ht="35" customHeight="1">
      <c r="A10" s="161" t="s">
        <v>236</v>
      </c>
      <c r="B10" s="162" t="s">
        <v>118</v>
      </c>
      <c r="C10" s="166">
        <v>9.17</v>
      </c>
      <c r="D10" s="167">
        <v>12</v>
      </c>
      <c r="E10" s="401">
        <f t="shared" si="12"/>
        <v>110.03999999999999</v>
      </c>
      <c r="F10" s="405">
        <v>1</v>
      </c>
      <c r="G10" s="172">
        <f t="shared" si="1"/>
        <v>9.17</v>
      </c>
      <c r="H10" s="413">
        <v>1</v>
      </c>
      <c r="I10" s="172">
        <f t="shared" si="2"/>
        <v>9.17</v>
      </c>
      <c r="J10" s="379">
        <v>1</v>
      </c>
      <c r="K10" s="363">
        <f t="shared" si="3"/>
        <v>9.17</v>
      </c>
      <c r="L10" s="382">
        <v>0</v>
      </c>
      <c r="M10" s="387">
        <f t="shared" si="4"/>
        <v>0</v>
      </c>
      <c r="N10" s="386">
        <v>6</v>
      </c>
      <c r="O10" s="385">
        <f t="shared" si="5"/>
        <v>55.019999999999996</v>
      </c>
      <c r="P10" s="371">
        <v>0</v>
      </c>
      <c r="Q10" s="375">
        <f t="shared" si="6"/>
        <v>0</v>
      </c>
      <c r="R10" s="372">
        <v>20</v>
      </c>
      <c r="S10" s="172">
        <f t="shared" si="7"/>
        <v>183.4</v>
      </c>
      <c r="T10" s="392">
        <v>12</v>
      </c>
      <c r="U10" s="172">
        <f t="shared" si="8"/>
        <v>110.03999999999999</v>
      </c>
      <c r="V10" s="398">
        <v>6</v>
      </c>
      <c r="W10" s="172">
        <f t="shared" si="9"/>
        <v>55.019999999999996</v>
      </c>
      <c r="X10" s="167">
        <v>6</v>
      </c>
      <c r="Y10" s="172">
        <f t="shared" si="10"/>
        <v>55.019999999999996</v>
      </c>
      <c r="Z10" s="167">
        <v>6</v>
      </c>
      <c r="AA10" s="172">
        <f t="shared" si="11"/>
        <v>55.019999999999996</v>
      </c>
    </row>
    <row r="11" spans="1:27" s="210" customFormat="1" ht="35" customHeight="1">
      <c r="A11" s="161" t="s">
        <v>237</v>
      </c>
      <c r="B11" s="162" t="s">
        <v>127</v>
      </c>
      <c r="C11" s="166">
        <v>35.1</v>
      </c>
      <c r="D11" s="167">
        <v>150</v>
      </c>
      <c r="E11" s="401">
        <f t="shared" si="12"/>
        <v>5265</v>
      </c>
      <c r="F11" s="405">
        <v>25</v>
      </c>
      <c r="G11" s="172">
        <f t="shared" si="1"/>
        <v>877.5</v>
      </c>
      <c r="H11" s="413">
        <v>25</v>
      </c>
      <c r="I11" s="172">
        <f t="shared" si="2"/>
        <v>877.5</v>
      </c>
      <c r="J11" s="379">
        <f>95+5+8</f>
        <v>108</v>
      </c>
      <c r="K11" s="363">
        <f t="shared" si="3"/>
        <v>3790.8</v>
      </c>
      <c r="L11" s="383">
        <v>10</v>
      </c>
      <c r="M11" s="387">
        <f t="shared" si="4"/>
        <v>351</v>
      </c>
      <c r="N11" s="388">
        <v>25</v>
      </c>
      <c r="O11" s="385">
        <f t="shared" si="5"/>
        <v>877.5</v>
      </c>
      <c r="P11" s="371">
        <v>15</v>
      </c>
      <c r="Q11" s="375">
        <f t="shared" si="6"/>
        <v>526.5</v>
      </c>
      <c r="R11" s="372">
        <v>50</v>
      </c>
      <c r="S11" s="172">
        <f t="shared" si="7"/>
        <v>1755</v>
      </c>
      <c r="T11" s="392">
        <v>60</v>
      </c>
      <c r="U11" s="172">
        <f t="shared" si="8"/>
        <v>2106</v>
      </c>
      <c r="V11" s="398">
        <v>50</v>
      </c>
      <c r="W11" s="172">
        <f t="shared" si="9"/>
        <v>1755</v>
      </c>
      <c r="X11" s="167">
        <v>48</v>
      </c>
      <c r="Y11" s="172">
        <f t="shared" si="10"/>
        <v>1684.8000000000002</v>
      </c>
      <c r="Z11" s="167">
        <v>40</v>
      </c>
      <c r="AA11" s="172">
        <f t="shared" si="11"/>
        <v>1404</v>
      </c>
    </row>
    <row r="12" spans="1:27" ht="35" customHeight="1">
      <c r="A12" s="161" t="s">
        <v>238</v>
      </c>
      <c r="B12" s="162" t="s">
        <v>127</v>
      </c>
      <c r="C12" s="166">
        <v>100.68</v>
      </c>
      <c r="D12" s="167">
        <v>0</v>
      </c>
      <c r="E12" s="401">
        <f t="shared" si="12"/>
        <v>0</v>
      </c>
      <c r="F12" s="405">
        <v>0</v>
      </c>
      <c r="G12" s="172">
        <f>F12*C12</f>
        <v>0</v>
      </c>
      <c r="H12" s="413">
        <v>0</v>
      </c>
      <c r="I12" s="172">
        <f t="shared" si="2"/>
        <v>0</v>
      </c>
      <c r="J12" s="379">
        <v>2</v>
      </c>
      <c r="K12" s="363">
        <f t="shared" si="3"/>
        <v>201.36</v>
      </c>
      <c r="L12" s="382">
        <v>0</v>
      </c>
      <c r="M12" s="387">
        <f t="shared" si="4"/>
        <v>0</v>
      </c>
      <c r="N12" s="386">
        <v>1</v>
      </c>
      <c r="O12" s="385">
        <f t="shared" si="5"/>
        <v>100.68</v>
      </c>
      <c r="P12" s="371">
        <v>1</v>
      </c>
      <c r="Q12" s="375">
        <f t="shared" si="6"/>
        <v>100.68</v>
      </c>
      <c r="R12" s="372">
        <v>0</v>
      </c>
      <c r="S12" s="172">
        <f t="shared" si="7"/>
        <v>0</v>
      </c>
      <c r="T12" s="392">
        <v>2</v>
      </c>
      <c r="U12" s="172">
        <f t="shared" si="8"/>
        <v>201.36</v>
      </c>
      <c r="V12" s="398">
        <v>2</v>
      </c>
      <c r="W12" s="172">
        <f t="shared" si="9"/>
        <v>201.36</v>
      </c>
      <c r="X12" s="167">
        <v>6</v>
      </c>
      <c r="Y12" s="172">
        <f t="shared" si="10"/>
        <v>604.08000000000004</v>
      </c>
      <c r="Z12" s="167">
        <v>2</v>
      </c>
      <c r="AA12" s="172">
        <f t="shared" si="11"/>
        <v>201.36</v>
      </c>
    </row>
    <row r="13" spans="1:27" ht="35" customHeight="1">
      <c r="A13" s="161" t="s">
        <v>150</v>
      </c>
      <c r="B13" s="162" t="s">
        <v>129</v>
      </c>
      <c r="C13" s="325">
        <v>7.03</v>
      </c>
      <c r="D13" s="167">
        <v>50</v>
      </c>
      <c r="E13" s="401">
        <f t="shared" si="12"/>
        <v>351.5</v>
      </c>
      <c r="F13" s="405">
        <v>4</v>
      </c>
      <c r="G13" s="172">
        <f t="shared" si="1"/>
        <v>28.12</v>
      </c>
      <c r="H13" s="413">
        <v>4</v>
      </c>
      <c r="I13" s="172">
        <f t="shared" si="2"/>
        <v>28.12</v>
      </c>
      <c r="J13" s="379">
        <f>36+1+3</f>
        <v>40</v>
      </c>
      <c r="K13" s="363">
        <f t="shared" si="3"/>
        <v>281.2</v>
      </c>
      <c r="L13" s="383">
        <v>5</v>
      </c>
      <c r="M13" s="387">
        <f t="shared" si="4"/>
        <v>35.15</v>
      </c>
      <c r="N13" s="388">
        <v>12</v>
      </c>
      <c r="O13" s="385">
        <f t="shared" si="5"/>
        <v>84.36</v>
      </c>
      <c r="P13" s="371">
        <v>6</v>
      </c>
      <c r="Q13" s="375">
        <f t="shared" si="6"/>
        <v>42.18</v>
      </c>
      <c r="R13" s="372">
        <v>18</v>
      </c>
      <c r="S13" s="172">
        <f t="shared" si="7"/>
        <v>126.54</v>
      </c>
      <c r="T13" s="392">
        <v>13</v>
      </c>
      <c r="U13" s="172">
        <f t="shared" si="8"/>
        <v>91.39</v>
      </c>
      <c r="V13" s="398">
        <v>15</v>
      </c>
      <c r="W13" s="172">
        <f t="shared" si="9"/>
        <v>105.45</v>
      </c>
      <c r="X13" s="167">
        <v>0</v>
      </c>
      <c r="Y13" s="172">
        <f t="shared" si="10"/>
        <v>0</v>
      </c>
      <c r="Z13" s="167">
        <v>15</v>
      </c>
      <c r="AA13" s="172">
        <f t="shared" si="11"/>
        <v>105.45</v>
      </c>
    </row>
    <row r="14" spans="1:27" ht="35" customHeight="1">
      <c r="A14" s="161" t="s">
        <v>151</v>
      </c>
      <c r="B14" s="162" t="s">
        <v>129</v>
      </c>
      <c r="C14" s="325">
        <v>6.1</v>
      </c>
      <c r="D14" s="167">
        <v>50</v>
      </c>
      <c r="E14" s="401">
        <f t="shared" si="12"/>
        <v>305</v>
      </c>
      <c r="F14" s="405">
        <v>5</v>
      </c>
      <c r="G14" s="172">
        <f t="shared" si="1"/>
        <v>30.5</v>
      </c>
      <c r="H14" s="413">
        <v>5</v>
      </c>
      <c r="I14" s="172">
        <f t="shared" si="2"/>
        <v>30.5</v>
      </c>
      <c r="J14" s="379">
        <f>26+1+3</f>
        <v>30</v>
      </c>
      <c r="K14" s="363">
        <f t="shared" si="3"/>
        <v>183</v>
      </c>
      <c r="L14" s="382">
        <v>10</v>
      </c>
      <c r="M14" s="387">
        <f t="shared" si="4"/>
        <v>61</v>
      </c>
      <c r="N14" s="386">
        <v>12</v>
      </c>
      <c r="O14" s="385">
        <f t="shared" si="5"/>
        <v>73.199999999999989</v>
      </c>
      <c r="P14" s="371">
        <v>4</v>
      </c>
      <c r="Q14" s="375">
        <f t="shared" si="6"/>
        <v>24.4</v>
      </c>
      <c r="R14" s="372">
        <v>0</v>
      </c>
      <c r="S14" s="172">
        <f t="shared" si="7"/>
        <v>0</v>
      </c>
      <c r="T14" s="392">
        <v>13</v>
      </c>
      <c r="U14" s="172">
        <f>T14*C14</f>
        <v>79.3</v>
      </c>
      <c r="V14" s="398">
        <v>15</v>
      </c>
      <c r="W14" s="172">
        <f t="shared" si="9"/>
        <v>91.5</v>
      </c>
      <c r="X14" s="167">
        <v>0</v>
      </c>
      <c r="Y14" s="172">
        <f t="shared" si="10"/>
        <v>0</v>
      </c>
      <c r="Z14" s="167">
        <v>20</v>
      </c>
      <c r="AA14" s="172">
        <f t="shared" si="11"/>
        <v>122</v>
      </c>
    </row>
    <row r="15" spans="1:27" ht="35" customHeight="1">
      <c r="A15" s="161" t="s">
        <v>152</v>
      </c>
      <c r="B15" s="162" t="s">
        <v>129</v>
      </c>
      <c r="C15" s="325">
        <v>6.4</v>
      </c>
      <c r="D15" s="167">
        <v>50</v>
      </c>
      <c r="E15" s="401">
        <f t="shared" si="12"/>
        <v>320</v>
      </c>
      <c r="F15" s="405">
        <v>3</v>
      </c>
      <c r="G15" s="172">
        <f t="shared" si="1"/>
        <v>19.200000000000003</v>
      </c>
      <c r="H15" s="413">
        <v>3</v>
      </c>
      <c r="I15" s="172">
        <f t="shared" si="2"/>
        <v>19.200000000000003</v>
      </c>
      <c r="J15" s="379">
        <f>38+2+3</f>
        <v>43</v>
      </c>
      <c r="K15" s="363">
        <f t="shared" si="3"/>
        <v>275.2</v>
      </c>
      <c r="L15" s="383">
        <v>3</v>
      </c>
      <c r="M15" s="387">
        <f t="shared" si="4"/>
        <v>19.200000000000003</v>
      </c>
      <c r="N15" s="388">
        <v>6</v>
      </c>
      <c r="O15" s="385">
        <f t="shared" si="5"/>
        <v>38.400000000000006</v>
      </c>
      <c r="P15" s="371">
        <v>3</v>
      </c>
      <c r="Q15" s="375">
        <f t="shared" si="6"/>
        <v>19.200000000000003</v>
      </c>
      <c r="R15" s="372">
        <v>30</v>
      </c>
      <c r="S15" s="172">
        <f>R15*C15</f>
        <v>192</v>
      </c>
      <c r="T15" s="392">
        <v>15</v>
      </c>
      <c r="U15" s="172">
        <f t="shared" si="8"/>
        <v>96</v>
      </c>
      <c r="V15" s="398">
        <v>15</v>
      </c>
      <c r="W15" s="172">
        <f t="shared" si="9"/>
        <v>96</v>
      </c>
      <c r="X15" s="167">
        <v>0</v>
      </c>
      <c r="Y15" s="172">
        <f t="shared" si="10"/>
        <v>0</v>
      </c>
      <c r="Z15" s="167">
        <v>10</v>
      </c>
      <c r="AA15" s="172">
        <f t="shared" si="11"/>
        <v>64</v>
      </c>
    </row>
    <row r="16" spans="1:27" ht="35" customHeight="1">
      <c r="A16" s="161" t="s">
        <v>153</v>
      </c>
      <c r="B16" s="162" t="s">
        <v>129</v>
      </c>
      <c r="C16" s="325">
        <v>4.5199999999999996</v>
      </c>
      <c r="D16" s="167">
        <v>16</v>
      </c>
      <c r="E16" s="401">
        <f t="shared" si="12"/>
        <v>72.319999999999993</v>
      </c>
      <c r="F16" s="405">
        <v>0</v>
      </c>
      <c r="G16" s="172">
        <f t="shared" si="1"/>
        <v>0</v>
      </c>
      <c r="H16" s="413">
        <v>0</v>
      </c>
      <c r="I16" s="172">
        <f t="shared" si="2"/>
        <v>0</v>
      </c>
      <c r="J16" s="379">
        <f>18+1+3</f>
        <v>22</v>
      </c>
      <c r="K16" s="363">
        <f t="shared" si="3"/>
        <v>99.44</v>
      </c>
      <c r="L16" s="382">
        <v>0</v>
      </c>
      <c r="M16" s="387">
        <f t="shared" si="4"/>
        <v>0</v>
      </c>
      <c r="N16" s="386">
        <v>6</v>
      </c>
      <c r="O16" s="385">
        <f t="shared" si="5"/>
        <v>27.119999999999997</v>
      </c>
      <c r="P16" s="371">
        <v>2</v>
      </c>
      <c r="Q16" s="375">
        <f t="shared" si="6"/>
        <v>9.0399999999999991</v>
      </c>
      <c r="R16" s="372">
        <v>0</v>
      </c>
      <c r="S16" s="172">
        <f t="shared" si="7"/>
        <v>0</v>
      </c>
      <c r="T16" s="392">
        <v>10</v>
      </c>
      <c r="U16" s="172">
        <f t="shared" si="8"/>
        <v>45.199999999999996</v>
      </c>
      <c r="V16" s="398">
        <v>15</v>
      </c>
      <c r="W16" s="172">
        <f t="shared" si="9"/>
        <v>67.8</v>
      </c>
      <c r="X16" s="167">
        <v>0</v>
      </c>
      <c r="Y16" s="172">
        <f t="shared" si="10"/>
        <v>0</v>
      </c>
      <c r="Z16" s="167">
        <v>10</v>
      </c>
      <c r="AA16" s="172">
        <f t="shared" si="11"/>
        <v>45.199999999999996</v>
      </c>
    </row>
    <row r="17" spans="1:27" ht="35" customHeight="1">
      <c r="A17" s="161" t="s">
        <v>240</v>
      </c>
      <c r="B17" s="162" t="s">
        <v>127</v>
      </c>
      <c r="C17" s="325">
        <v>6.91</v>
      </c>
      <c r="D17" s="167">
        <v>125</v>
      </c>
      <c r="E17" s="401">
        <f t="shared" si="12"/>
        <v>863.75</v>
      </c>
      <c r="F17" s="405">
        <v>15</v>
      </c>
      <c r="G17" s="172">
        <f t="shared" si="1"/>
        <v>103.65</v>
      </c>
      <c r="H17" s="413">
        <v>15</v>
      </c>
      <c r="I17" s="172">
        <f t="shared" si="2"/>
        <v>103.65</v>
      </c>
      <c r="J17" s="379">
        <f>100+5+25</f>
        <v>130</v>
      </c>
      <c r="K17" s="363">
        <f t="shared" si="3"/>
        <v>898.30000000000007</v>
      </c>
      <c r="L17" s="383">
        <v>5</v>
      </c>
      <c r="M17" s="387">
        <f t="shared" si="4"/>
        <v>34.549999999999997</v>
      </c>
      <c r="N17" s="388">
        <v>40</v>
      </c>
      <c r="O17" s="385">
        <f t="shared" si="5"/>
        <v>276.39999999999998</v>
      </c>
      <c r="P17" s="371">
        <v>20</v>
      </c>
      <c r="Q17" s="375">
        <f t="shared" si="6"/>
        <v>138.19999999999999</v>
      </c>
      <c r="R17" s="372">
        <v>30</v>
      </c>
      <c r="S17" s="172">
        <f t="shared" si="7"/>
        <v>207.3</v>
      </c>
      <c r="T17" s="392">
        <v>20</v>
      </c>
      <c r="U17" s="172">
        <f t="shared" si="8"/>
        <v>138.19999999999999</v>
      </c>
      <c r="V17" s="398">
        <v>50</v>
      </c>
      <c r="W17" s="172">
        <f t="shared" si="9"/>
        <v>345.5</v>
      </c>
      <c r="X17" s="167">
        <v>36</v>
      </c>
      <c r="Y17" s="172">
        <f t="shared" si="10"/>
        <v>248.76</v>
      </c>
      <c r="Z17" s="167">
        <v>15</v>
      </c>
      <c r="AA17" s="172">
        <f t="shared" si="11"/>
        <v>103.65</v>
      </c>
    </row>
    <row r="18" spans="1:27" ht="35" customHeight="1">
      <c r="A18" s="161" t="s">
        <v>239</v>
      </c>
      <c r="B18" s="163" t="s">
        <v>127</v>
      </c>
      <c r="C18" s="166">
        <v>3.33</v>
      </c>
      <c r="D18" s="167">
        <v>23</v>
      </c>
      <c r="E18" s="401">
        <f t="shared" si="12"/>
        <v>76.59</v>
      </c>
      <c r="F18" s="405">
        <v>0</v>
      </c>
      <c r="G18" s="172">
        <f t="shared" si="1"/>
        <v>0</v>
      </c>
      <c r="H18" s="413">
        <v>0</v>
      </c>
      <c r="I18" s="172">
        <f t="shared" si="2"/>
        <v>0</v>
      </c>
      <c r="J18" s="379">
        <f>55+15</f>
        <v>70</v>
      </c>
      <c r="K18" s="363">
        <f>J18*C18</f>
        <v>233.1</v>
      </c>
      <c r="L18" s="382">
        <v>2</v>
      </c>
      <c r="M18" s="387">
        <f t="shared" si="4"/>
        <v>6.66</v>
      </c>
      <c r="N18" s="386">
        <v>30</v>
      </c>
      <c r="O18" s="385">
        <f t="shared" si="5"/>
        <v>99.9</v>
      </c>
      <c r="P18" s="371">
        <v>6</v>
      </c>
      <c r="Q18" s="375">
        <f t="shared" si="6"/>
        <v>19.98</v>
      </c>
      <c r="R18" s="372">
        <v>0</v>
      </c>
      <c r="S18" s="172">
        <f t="shared" si="7"/>
        <v>0</v>
      </c>
      <c r="T18" s="392">
        <v>10</v>
      </c>
      <c r="U18" s="172">
        <f t="shared" si="8"/>
        <v>33.299999999999997</v>
      </c>
      <c r="V18" s="398">
        <v>10</v>
      </c>
      <c r="W18" s="172">
        <f>V18*C18</f>
        <v>33.299999999999997</v>
      </c>
      <c r="X18" s="167">
        <v>0</v>
      </c>
      <c r="Y18" s="172">
        <f>X18*C18</f>
        <v>0</v>
      </c>
      <c r="Z18" s="167">
        <v>5</v>
      </c>
      <c r="AA18" s="172">
        <f t="shared" si="11"/>
        <v>16.649999999999999</v>
      </c>
    </row>
    <row r="19" spans="1:27" ht="35" customHeight="1">
      <c r="A19" s="164" t="s">
        <v>132</v>
      </c>
      <c r="B19" s="163" t="s">
        <v>133</v>
      </c>
      <c r="C19" s="166">
        <v>1.8</v>
      </c>
      <c r="D19" s="167">
        <v>17</v>
      </c>
      <c r="E19" s="401">
        <f t="shared" si="12"/>
        <v>30.6</v>
      </c>
      <c r="F19" s="405">
        <v>5</v>
      </c>
      <c r="G19" s="172">
        <f t="shared" si="1"/>
        <v>9</v>
      </c>
      <c r="H19" s="413">
        <v>5</v>
      </c>
      <c r="I19" s="172">
        <f t="shared" si="2"/>
        <v>9</v>
      </c>
      <c r="J19" s="379">
        <f>15+6</f>
        <v>21</v>
      </c>
      <c r="K19" s="363">
        <f t="shared" si="3"/>
        <v>37.800000000000004</v>
      </c>
      <c r="L19" s="383">
        <v>10</v>
      </c>
      <c r="M19" s="387">
        <f t="shared" si="4"/>
        <v>18</v>
      </c>
      <c r="N19" s="388">
        <v>24</v>
      </c>
      <c r="O19" s="385">
        <f t="shared" si="5"/>
        <v>43.2</v>
      </c>
      <c r="P19" s="371">
        <v>20</v>
      </c>
      <c r="Q19" s="375">
        <f>P19*C19</f>
        <v>36</v>
      </c>
      <c r="R19" s="372">
        <v>16</v>
      </c>
      <c r="S19" s="172">
        <f t="shared" si="7"/>
        <v>28.8</v>
      </c>
      <c r="T19" s="392">
        <v>10</v>
      </c>
      <c r="U19" s="172">
        <f t="shared" si="8"/>
        <v>18</v>
      </c>
      <c r="V19" s="398">
        <v>1</v>
      </c>
      <c r="W19" s="172">
        <f t="shared" si="9"/>
        <v>1.8</v>
      </c>
      <c r="X19" s="167">
        <v>24</v>
      </c>
      <c r="Y19" s="172">
        <f t="shared" si="10"/>
        <v>43.2</v>
      </c>
      <c r="Z19" s="167">
        <v>4</v>
      </c>
      <c r="AA19" s="172">
        <f t="shared" si="11"/>
        <v>7.2</v>
      </c>
    </row>
    <row r="20" spans="1:27" s="210" customFormat="1" ht="35" customHeight="1">
      <c r="A20" s="164" t="s">
        <v>241</v>
      </c>
      <c r="B20" s="163" t="s">
        <v>249</v>
      </c>
      <c r="C20" s="166">
        <v>3.95</v>
      </c>
      <c r="D20" s="167">
        <v>1</v>
      </c>
      <c r="E20" s="401">
        <f t="shared" si="12"/>
        <v>3.95</v>
      </c>
      <c r="F20" s="405">
        <v>0</v>
      </c>
      <c r="G20" s="172">
        <f t="shared" si="1"/>
        <v>0</v>
      </c>
      <c r="H20" s="413">
        <v>0</v>
      </c>
      <c r="I20" s="172">
        <f t="shared" si="2"/>
        <v>0</v>
      </c>
      <c r="J20" s="379">
        <f>2+1</f>
        <v>3</v>
      </c>
      <c r="K20" s="363">
        <f t="shared" si="3"/>
        <v>11.850000000000001</v>
      </c>
      <c r="L20" s="382">
        <v>0</v>
      </c>
      <c r="M20" s="387">
        <f t="shared" si="4"/>
        <v>0</v>
      </c>
      <c r="N20" s="386">
        <v>6</v>
      </c>
      <c r="O20" s="385">
        <f t="shared" si="5"/>
        <v>23.700000000000003</v>
      </c>
      <c r="P20" s="371">
        <v>4</v>
      </c>
      <c r="Q20" s="375">
        <f t="shared" si="6"/>
        <v>15.8</v>
      </c>
      <c r="R20" s="372">
        <v>4</v>
      </c>
      <c r="S20" s="172">
        <f t="shared" si="7"/>
        <v>15.8</v>
      </c>
      <c r="T20" s="392">
        <v>5</v>
      </c>
      <c r="U20" s="172">
        <f t="shared" si="8"/>
        <v>19.75</v>
      </c>
      <c r="V20" s="398">
        <v>1</v>
      </c>
      <c r="W20" s="172">
        <f t="shared" si="9"/>
        <v>3.95</v>
      </c>
      <c r="X20" s="167">
        <v>2</v>
      </c>
      <c r="Y20" s="172">
        <f t="shared" si="10"/>
        <v>7.9</v>
      </c>
      <c r="Z20" s="167">
        <v>2</v>
      </c>
      <c r="AA20" s="172">
        <f t="shared" si="11"/>
        <v>7.9</v>
      </c>
    </row>
    <row r="21" spans="1:27" s="210" customFormat="1" ht="35" customHeight="1">
      <c r="A21" s="164" t="s">
        <v>242</v>
      </c>
      <c r="B21" s="163" t="s">
        <v>247</v>
      </c>
      <c r="C21" s="166">
        <v>2.16</v>
      </c>
      <c r="D21" s="167">
        <v>20</v>
      </c>
      <c r="E21" s="401">
        <f t="shared" si="12"/>
        <v>43.2</v>
      </c>
      <c r="F21" s="405">
        <v>0</v>
      </c>
      <c r="G21" s="172">
        <f t="shared" si="1"/>
        <v>0</v>
      </c>
      <c r="H21" s="413">
        <v>0</v>
      </c>
      <c r="I21" s="172">
        <f t="shared" si="2"/>
        <v>0</v>
      </c>
      <c r="J21" s="379">
        <v>4</v>
      </c>
      <c r="K21" s="363">
        <f t="shared" si="3"/>
        <v>8.64</v>
      </c>
      <c r="L21" s="383">
        <v>0</v>
      </c>
      <c r="M21" s="387">
        <f t="shared" si="4"/>
        <v>0</v>
      </c>
      <c r="N21" s="388">
        <v>6</v>
      </c>
      <c r="O21" s="385">
        <f t="shared" si="5"/>
        <v>12.96</v>
      </c>
      <c r="P21" s="371">
        <v>2</v>
      </c>
      <c r="Q21" s="375">
        <f t="shared" si="6"/>
        <v>4.32</v>
      </c>
      <c r="R21" s="372">
        <v>4</v>
      </c>
      <c r="S21" s="172">
        <f>R21*C21</f>
        <v>8.64</v>
      </c>
      <c r="T21" s="392">
        <v>4</v>
      </c>
      <c r="U21" s="172">
        <f>T21*C21</f>
        <v>8.64</v>
      </c>
      <c r="V21" s="398">
        <v>0</v>
      </c>
      <c r="W21" s="172">
        <f t="shared" si="9"/>
        <v>0</v>
      </c>
      <c r="X21" s="167">
        <v>4</v>
      </c>
      <c r="Y21" s="172">
        <f t="shared" si="10"/>
        <v>8.64</v>
      </c>
      <c r="Z21" s="167">
        <v>4</v>
      </c>
      <c r="AA21" s="172">
        <f t="shared" si="11"/>
        <v>8.64</v>
      </c>
    </row>
    <row r="22" spans="1:27" s="210" customFormat="1" ht="35" customHeight="1">
      <c r="A22" s="164" t="s">
        <v>243</v>
      </c>
      <c r="B22" s="163" t="s">
        <v>249</v>
      </c>
      <c r="C22" s="166">
        <v>2.77</v>
      </c>
      <c r="D22" s="167">
        <v>7</v>
      </c>
      <c r="E22" s="401">
        <f t="shared" si="12"/>
        <v>19.39</v>
      </c>
      <c r="F22" s="405">
        <v>0</v>
      </c>
      <c r="G22" s="172">
        <f t="shared" si="1"/>
        <v>0</v>
      </c>
      <c r="H22" s="413">
        <v>0</v>
      </c>
      <c r="I22" s="172">
        <f t="shared" si="2"/>
        <v>0</v>
      </c>
      <c r="J22" s="379">
        <f>2+1</f>
        <v>3</v>
      </c>
      <c r="K22" s="363">
        <f t="shared" si="3"/>
        <v>8.31</v>
      </c>
      <c r="L22" s="382">
        <v>0</v>
      </c>
      <c r="M22" s="387">
        <f t="shared" si="4"/>
        <v>0</v>
      </c>
      <c r="N22" s="386">
        <v>5</v>
      </c>
      <c r="O22" s="385">
        <f t="shared" si="5"/>
        <v>13.85</v>
      </c>
      <c r="P22" s="371">
        <v>6</v>
      </c>
      <c r="Q22" s="375">
        <f t="shared" si="6"/>
        <v>16.62</v>
      </c>
      <c r="R22" s="372">
        <v>2</v>
      </c>
      <c r="S22" s="172">
        <f t="shared" si="7"/>
        <v>5.54</v>
      </c>
      <c r="T22" s="392">
        <v>2</v>
      </c>
      <c r="U22" s="172">
        <f t="shared" si="8"/>
        <v>5.54</v>
      </c>
      <c r="V22" s="398">
        <v>1</v>
      </c>
      <c r="W22" s="172">
        <f t="shared" si="9"/>
        <v>2.77</v>
      </c>
      <c r="X22" s="167">
        <v>2</v>
      </c>
      <c r="Y22" s="172">
        <f t="shared" si="10"/>
        <v>5.54</v>
      </c>
      <c r="Z22" s="167">
        <v>2</v>
      </c>
      <c r="AA22" s="172">
        <f t="shared" si="11"/>
        <v>5.54</v>
      </c>
    </row>
    <row r="23" spans="1:27" s="210" customFormat="1" ht="35" customHeight="1">
      <c r="A23" s="164" t="s">
        <v>244</v>
      </c>
      <c r="B23" s="163" t="s">
        <v>248</v>
      </c>
      <c r="C23" s="166">
        <v>73.55</v>
      </c>
      <c r="D23" s="167">
        <v>6</v>
      </c>
      <c r="E23" s="401">
        <f t="shared" si="12"/>
        <v>441.29999999999995</v>
      </c>
      <c r="F23" s="405">
        <v>0</v>
      </c>
      <c r="G23" s="172">
        <f t="shared" si="1"/>
        <v>0</v>
      </c>
      <c r="H23" s="413">
        <v>0</v>
      </c>
      <c r="I23" s="172">
        <f t="shared" si="2"/>
        <v>0</v>
      </c>
      <c r="J23" s="378">
        <v>1.5</v>
      </c>
      <c r="K23" s="363">
        <f t="shared" si="3"/>
        <v>110.32499999999999</v>
      </c>
      <c r="L23" s="383">
        <v>0</v>
      </c>
      <c r="M23" s="387">
        <f t="shared" si="4"/>
        <v>0</v>
      </c>
      <c r="N23" s="388">
        <v>1</v>
      </c>
      <c r="O23" s="385">
        <f t="shared" si="5"/>
        <v>73.55</v>
      </c>
      <c r="P23" s="371">
        <v>4</v>
      </c>
      <c r="Q23" s="375">
        <f t="shared" si="6"/>
        <v>294.2</v>
      </c>
      <c r="R23" s="373">
        <v>0.5</v>
      </c>
      <c r="S23" s="172">
        <f t="shared" si="7"/>
        <v>36.774999999999999</v>
      </c>
      <c r="T23" s="393">
        <v>0.5</v>
      </c>
      <c r="U23" s="172">
        <f t="shared" si="8"/>
        <v>36.774999999999999</v>
      </c>
      <c r="V23" s="398">
        <v>0</v>
      </c>
      <c r="W23" s="172">
        <f t="shared" si="9"/>
        <v>0</v>
      </c>
      <c r="X23" s="275">
        <v>0.5</v>
      </c>
      <c r="Y23" s="172">
        <f t="shared" si="10"/>
        <v>36.774999999999999</v>
      </c>
      <c r="Z23" s="275">
        <v>0.5</v>
      </c>
      <c r="AA23" s="172">
        <f t="shared" si="11"/>
        <v>36.774999999999999</v>
      </c>
    </row>
    <row r="24" spans="1:27" s="210" customFormat="1" ht="35" customHeight="1">
      <c r="A24" s="164" t="s">
        <v>245</v>
      </c>
      <c r="B24" s="163" t="s">
        <v>247</v>
      </c>
      <c r="C24" s="166">
        <v>3.42</v>
      </c>
      <c r="D24" s="167">
        <v>12</v>
      </c>
      <c r="E24" s="401">
        <f t="shared" si="12"/>
        <v>41.04</v>
      </c>
      <c r="F24" s="405">
        <v>3</v>
      </c>
      <c r="G24" s="172">
        <f t="shared" si="1"/>
        <v>10.26</v>
      </c>
      <c r="H24" s="413">
        <v>3</v>
      </c>
      <c r="I24" s="172">
        <f t="shared" si="2"/>
        <v>10.26</v>
      </c>
      <c r="J24" s="379">
        <v>2</v>
      </c>
      <c r="K24" s="363">
        <f>J24*C24</f>
        <v>6.84</v>
      </c>
      <c r="L24" s="382">
        <v>2</v>
      </c>
      <c r="M24" s="387">
        <f t="shared" si="4"/>
        <v>6.84</v>
      </c>
      <c r="N24" s="386">
        <v>6</v>
      </c>
      <c r="O24" s="385">
        <f t="shared" si="5"/>
        <v>20.52</v>
      </c>
      <c r="P24" s="371">
        <v>6</v>
      </c>
      <c r="Q24" s="375">
        <f t="shared" si="6"/>
        <v>20.52</v>
      </c>
      <c r="R24" s="372">
        <v>2</v>
      </c>
      <c r="S24" s="172">
        <f t="shared" si="7"/>
        <v>6.84</v>
      </c>
      <c r="T24" s="392">
        <v>2</v>
      </c>
      <c r="U24" s="172">
        <f t="shared" si="8"/>
        <v>6.84</v>
      </c>
      <c r="V24" s="398">
        <v>2</v>
      </c>
      <c r="W24" s="172">
        <f t="shared" si="9"/>
        <v>6.84</v>
      </c>
      <c r="X24" s="167">
        <v>2</v>
      </c>
      <c r="Y24" s="172">
        <f t="shared" si="10"/>
        <v>6.84</v>
      </c>
      <c r="Z24" s="167">
        <v>2</v>
      </c>
      <c r="AA24" s="172">
        <f t="shared" si="11"/>
        <v>6.84</v>
      </c>
    </row>
    <row r="25" spans="1:27" s="210" customFormat="1" ht="35" customHeight="1">
      <c r="A25" s="164" t="s">
        <v>131</v>
      </c>
      <c r="B25" s="163" t="s">
        <v>118</v>
      </c>
      <c r="C25" s="166">
        <v>0.73</v>
      </c>
      <c r="D25" s="167">
        <v>29</v>
      </c>
      <c r="E25" s="401">
        <f>C25*D25</f>
        <v>21.169999999999998</v>
      </c>
      <c r="F25" s="405">
        <v>6</v>
      </c>
      <c r="G25" s="172">
        <f t="shared" si="1"/>
        <v>4.38</v>
      </c>
      <c r="H25" s="413">
        <v>6</v>
      </c>
      <c r="I25" s="172">
        <f t="shared" si="2"/>
        <v>4.38</v>
      </c>
      <c r="J25" s="379">
        <f>20+12</f>
        <v>32</v>
      </c>
      <c r="K25" s="363">
        <f t="shared" si="3"/>
        <v>23.36</v>
      </c>
      <c r="L25" s="383">
        <v>10</v>
      </c>
      <c r="M25" s="387">
        <f t="shared" si="4"/>
        <v>7.3</v>
      </c>
      <c r="N25" s="388">
        <v>6</v>
      </c>
      <c r="O25" s="385">
        <f t="shared" si="5"/>
        <v>4.38</v>
      </c>
      <c r="P25" s="371">
        <v>20</v>
      </c>
      <c r="Q25" s="375">
        <f t="shared" si="6"/>
        <v>14.6</v>
      </c>
      <c r="R25" s="372">
        <v>25</v>
      </c>
      <c r="S25" s="172">
        <f t="shared" si="7"/>
        <v>18.25</v>
      </c>
      <c r="T25" s="392">
        <v>5</v>
      </c>
      <c r="U25" s="172">
        <f t="shared" si="8"/>
        <v>3.65</v>
      </c>
      <c r="V25" s="398">
        <v>2</v>
      </c>
      <c r="W25" s="172">
        <f t="shared" si="9"/>
        <v>1.46</v>
      </c>
      <c r="X25" s="167">
        <v>24</v>
      </c>
      <c r="Y25" s="172">
        <f t="shared" si="10"/>
        <v>17.52</v>
      </c>
      <c r="Z25" s="167">
        <v>4</v>
      </c>
      <c r="AA25" s="172">
        <f t="shared" si="11"/>
        <v>2.92</v>
      </c>
    </row>
    <row r="26" spans="1:27" ht="35" customHeight="1">
      <c r="A26" s="222" t="s">
        <v>246</v>
      </c>
      <c r="B26" s="163" t="s">
        <v>127</v>
      </c>
      <c r="C26" s="223">
        <v>1.91</v>
      </c>
      <c r="D26" s="222">
        <v>9</v>
      </c>
      <c r="E26" s="401">
        <f>C26*D26</f>
        <v>17.189999999999998</v>
      </c>
      <c r="F26" s="405">
        <v>0</v>
      </c>
      <c r="G26" s="172">
        <f t="shared" si="1"/>
        <v>0</v>
      </c>
      <c r="H26" s="414">
        <v>0</v>
      </c>
      <c r="I26" s="172">
        <f t="shared" si="2"/>
        <v>0</v>
      </c>
      <c r="J26" s="379">
        <v>2</v>
      </c>
      <c r="K26" s="363">
        <f t="shared" si="3"/>
        <v>3.82</v>
      </c>
      <c r="L26" s="382">
        <v>0</v>
      </c>
      <c r="M26" s="387">
        <f t="shared" si="4"/>
        <v>0</v>
      </c>
      <c r="N26" s="386">
        <v>1</v>
      </c>
      <c r="O26" s="385">
        <f t="shared" si="5"/>
        <v>1.91</v>
      </c>
      <c r="P26" s="371">
        <v>10</v>
      </c>
      <c r="Q26" s="375">
        <f t="shared" si="6"/>
        <v>19.099999999999998</v>
      </c>
      <c r="R26" s="372">
        <v>6</v>
      </c>
      <c r="S26" s="172">
        <f t="shared" si="7"/>
        <v>11.459999999999999</v>
      </c>
      <c r="T26" s="392">
        <v>2</v>
      </c>
      <c r="U26" s="172">
        <f t="shared" si="8"/>
        <v>3.82</v>
      </c>
      <c r="V26" s="399">
        <v>0</v>
      </c>
      <c r="W26" s="172">
        <f t="shared" si="9"/>
        <v>0</v>
      </c>
      <c r="X26" s="167">
        <v>1</v>
      </c>
      <c r="Y26" s="172">
        <f t="shared" si="10"/>
        <v>1.91</v>
      </c>
      <c r="Z26" s="167">
        <v>1</v>
      </c>
      <c r="AA26" s="172">
        <f t="shared" si="11"/>
        <v>1.91</v>
      </c>
    </row>
    <row r="27" spans="1:27" s="210" customFormat="1" ht="35" customHeight="1">
      <c r="A27" s="222" t="s">
        <v>250</v>
      </c>
      <c r="B27" s="163" t="s">
        <v>247</v>
      </c>
      <c r="C27" s="223">
        <v>7.35</v>
      </c>
      <c r="D27" s="222">
        <v>0</v>
      </c>
      <c r="E27" s="401">
        <f>C27*D27</f>
        <v>0</v>
      </c>
      <c r="F27" s="406">
        <v>0</v>
      </c>
      <c r="G27" s="172">
        <f t="shared" si="1"/>
        <v>0</v>
      </c>
      <c r="H27" s="414">
        <v>0</v>
      </c>
      <c r="I27" s="172">
        <f t="shared" si="2"/>
        <v>0</v>
      </c>
      <c r="J27" s="379">
        <v>0</v>
      </c>
      <c r="K27" s="363">
        <f t="shared" si="3"/>
        <v>0</v>
      </c>
      <c r="L27" s="383">
        <v>0</v>
      </c>
      <c r="M27" s="387">
        <f t="shared" si="4"/>
        <v>0</v>
      </c>
      <c r="N27" s="388">
        <v>1</v>
      </c>
      <c r="O27" s="385">
        <f t="shared" si="5"/>
        <v>7.35</v>
      </c>
      <c r="P27" s="371">
        <v>2</v>
      </c>
      <c r="Q27" s="375">
        <f t="shared" si="6"/>
        <v>14.7</v>
      </c>
      <c r="R27" s="372">
        <v>0</v>
      </c>
      <c r="S27" s="172">
        <f>R27*C27</f>
        <v>0</v>
      </c>
      <c r="T27" s="392">
        <v>0</v>
      </c>
      <c r="U27" s="172">
        <f t="shared" si="8"/>
        <v>0</v>
      </c>
      <c r="V27" s="399">
        <v>0</v>
      </c>
      <c r="W27" s="172">
        <f t="shared" si="9"/>
        <v>0</v>
      </c>
      <c r="X27" s="167">
        <v>0</v>
      </c>
      <c r="Y27" s="172">
        <f t="shared" si="10"/>
        <v>0</v>
      </c>
      <c r="Z27" s="167">
        <v>0</v>
      </c>
      <c r="AA27" s="172">
        <f t="shared" si="11"/>
        <v>0</v>
      </c>
    </row>
    <row r="28" spans="1:27" ht="35" customHeight="1">
      <c r="A28" s="161" t="s">
        <v>130</v>
      </c>
      <c r="B28" s="163" t="s">
        <v>127</v>
      </c>
      <c r="C28" s="166">
        <v>3.98</v>
      </c>
      <c r="D28" s="167">
        <v>0</v>
      </c>
      <c r="E28" s="401">
        <f t="shared" si="12"/>
        <v>0</v>
      </c>
      <c r="F28" s="405">
        <v>7</v>
      </c>
      <c r="G28" s="172">
        <f t="shared" si="1"/>
        <v>27.86</v>
      </c>
      <c r="H28" s="413">
        <v>7</v>
      </c>
      <c r="I28" s="172">
        <f t="shared" si="2"/>
        <v>27.86</v>
      </c>
      <c r="J28" s="379">
        <f>30+4</f>
        <v>34</v>
      </c>
      <c r="K28" s="363">
        <f t="shared" si="3"/>
        <v>135.32</v>
      </c>
      <c r="L28" s="382">
        <f>4+1</f>
        <v>5</v>
      </c>
      <c r="M28" s="387">
        <f t="shared" si="4"/>
        <v>19.899999999999999</v>
      </c>
      <c r="N28" s="386">
        <v>2</v>
      </c>
      <c r="O28" s="385">
        <f t="shared" si="5"/>
        <v>7.96</v>
      </c>
      <c r="P28" s="371">
        <v>8</v>
      </c>
      <c r="Q28" s="375">
        <f t="shared" si="6"/>
        <v>31.84</v>
      </c>
      <c r="R28" s="372">
        <v>0</v>
      </c>
      <c r="S28" s="172">
        <f t="shared" si="7"/>
        <v>0</v>
      </c>
      <c r="T28" s="392">
        <v>2</v>
      </c>
      <c r="U28" s="172">
        <f t="shared" si="8"/>
        <v>7.96</v>
      </c>
      <c r="V28" s="398">
        <v>10</v>
      </c>
      <c r="W28" s="172">
        <f>V28*C28</f>
        <v>39.799999999999997</v>
      </c>
      <c r="X28" s="167">
        <v>18</v>
      </c>
      <c r="Y28" s="172">
        <f t="shared" si="10"/>
        <v>71.64</v>
      </c>
      <c r="Z28" s="167">
        <v>2</v>
      </c>
      <c r="AA28" s="172">
        <f t="shared" si="11"/>
        <v>7.96</v>
      </c>
    </row>
    <row r="29" spans="1:27" ht="35" customHeight="1">
      <c r="A29" s="161" t="s">
        <v>145</v>
      </c>
      <c r="B29" s="163" t="s">
        <v>127</v>
      </c>
      <c r="C29" s="166">
        <v>2.86</v>
      </c>
      <c r="D29" s="167">
        <v>24</v>
      </c>
      <c r="E29" s="401">
        <f t="shared" si="12"/>
        <v>68.64</v>
      </c>
      <c r="F29" s="405">
        <v>3</v>
      </c>
      <c r="G29" s="172">
        <f t="shared" si="1"/>
        <v>8.58</v>
      </c>
      <c r="H29" s="413">
        <v>3</v>
      </c>
      <c r="I29" s="172">
        <f t="shared" si="2"/>
        <v>8.58</v>
      </c>
      <c r="J29" s="379">
        <f>18+20</f>
        <v>38</v>
      </c>
      <c r="K29" s="363">
        <f t="shared" si="3"/>
        <v>108.67999999999999</v>
      </c>
      <c r="L29" s="383">
        <f>5+5</f>
        <v>10</v>
      </c>
      <c r="M29" s="387">
        <f t="shared" si="4"/>
        <v>28.599999999999998</v>
      </c>
      <c r="N29" s="388">
        <v>12</v>
      </c>
      <c r="O29" s="385">
        <f t="shared" si="5"/>
        <v>34.32</v>
      </c>
      <c r="P29" s="371">
        <v>50</v>
      </c>
      <c r="Q29" s="375">
        <f t="shared" si="6"/>
        <v>143</v>
      </c>
      <c r="R29" s="372">
        <v>5</v>
      </c>
      <c r="S29" s="172">
        <f t="shared" si="7"/>
        <v>14.299999999999999</v>
      </c>
      <c r="T29" s="392">
        <v>5</v>
      </c>
      <c r="U29" s="172">
        <f t="shared" si="8"/>
        <v>14.299999999999999</v>
      </c>
      <c r="V29" s="398">
        <v>5</v>
      </c>
      <c r="W29" s="172">
        <f t="shared" si="9"/>
        <v>14.299999999999999</v>
      </c>
      <c r="X29" s="167">
        <v>24</v>
      </c>
      <c r="Y29" s="172">
        <f>X29*C29</f>
        <v>68.64</v>
      </c>
      <c r="Z29" s="167">
        <v>15</v>
      </c>
      <c r="AA29" s="172">
        <f t="shared" si="11"/>
        <v>42.9</v>
      </c>
    </row>
    <row r="30" spans="1:27" ht="35" customHeight="1">
      <c r="A30" s="161" t="s">
        <v>251</v>
      </c>
      <c r="B30" s="163" t="s">
        <v>127</v>
      </c>
      <c r="C30" s="166">
        <v>15.33</v>
      </c>
      <c r="D30" s="167">
        <v>11</v>
      </c>
      <c r="E30" s="401">
        <f t="shared" si="12"/>
        <v>168.63</v>
      </c>
      <c r="F30" s="405">
        <v>1</v>
      </c>
      <c r="G30" s="172">
        <f t="shared" si="1"/>
        <v>15.33</v>
      </c>
      <c r="H30" s="413">
        <v>1</v>
      </c>
      <c r="I30" s="172">
        <f t="shared" si="2"/>
        <v>15.33</v>
      </c>
      <c r="J30" s="379">
        <f>10+1</f>
        <v>11</v>
      </c>
      <c r="K30" s="363">
        <f t="shared" si="3"/>
        <v>168.63</v>
      </c>
      <c r="L30" s="382">
        <v>3</v>
      </c>
      <c r="M30" s="387">
        <f t="shared" si="4"/>
        <v>45.99</v>
      </c>
      <c r="N30" s="386">
        <v>4</v>
      </c>
      <c r="O30" s="385">
        <f t="shared" si="5"/>
        <v>61.32</v>
      </c>
      <c r="P30" s="371">
        <v>6</v>
      </c>
      <c r="Q30" s="375">
        <f>P30*C30</f>
        <v>91.98</v>
      </c>
      <c r="R30" s="372">
        <v>3</v>
      </c>
      <c r="S30" s="172">
        <f t="shared" si="7"/>
        <v>45.99</v>
      </c>
      <c r="T30" s="392">
        <v>3</v>
      </c>
      <c r="U30" s="172">
        <f>T30*C30</f>
        <v>45.99</v>
      </c>
      <c r="V30" s="398">
        <v>10</v>
      </c>
      <c r="W30" s="172">
        <f t="shared" si="9"/>
        <v>153.30000000000001</v>
      </c>
      <c r="X30" s="167">
        <v>2</v>
      </c>
      <c r="Y30" s="172">
        <f t="shared" si="10"/>
        <v>30.66</v>
      </c>
      <c r="Z30" s="167">
        <v>1</v>
      </c>
      <c r="AA30" s="172">
        <f>Z30*C30</f>
        <v>15.33</v>
      </c>
    </row>
    <row r="31" spans="1:27" ht="35" customHeight="1">
      <c r="A31" s="164" t="s">
        <v>134</v>
      </c>
      <c r="B31" s="163" t="s">
        <v>118</v>
      </c>
      <c r="C31" s="166">
        <v>3.93</v>
      </c>
      <c r="D31" s="167">
        <v>12</v>
      </c>
      <c r="E31" s="401">
        <f t="shared" si="12"/>
        <v>47.160000000000004</v>
      </c>
      <c r="F31" s="405">
        <v>3</v>
      </c>
      <c r="G31" s="172">
        <f t="shared" si="1"/>
        <v>11.790000000000001</v>
      </c>
      <c r="H31" s="413">
        <v>3</v>
      </c>
      <c r="I31" s="172">
        <f t="shared" si="2"/>
        <v>11.790000000000001</v>
      </c>
      <c r="J31" s="379">
        <f>10+5</f>
        <v>15</v>
      </c>
      <c r="K31" s="363">
        <f>J31*C31</f>
        <v>58.95</v>
      </c>
      <c r="L31" s="383">
        <v>3</v>
      </c>
      <c r="M31" s="387">
        <f t="shared" si="4"/>
        <v>11.790000000000001</v>
      </c>
      <c r="N31" s="388">
        <v>12</v>
      </c>
      <c r="O31" s="385">
        <f t="shared" si="5"/>
        <v>47.160000000000004</v>
      </c>
      <c r="P31" s="371">
        <v>12</v>
      </c>
      <c r="Q31" s="375">
        <f t="shared" si="6"/>
        <v>47.160000000000004</v>
      </c>
      <c r="R31" s="372">
        <v>3</v>
      </c>
      <c r="S31" s="172">
        <f t="shared" si="7"/>
        <v>11.790000000000001</v>
      </c>
      <c r="T31" s="392">
        <v>3</v>
      </c>
      <c r="U31" s="172">
        <f t="shared" si="8"/>
        <v>11.790000000000001</v>
      </c>
      <c r="V31" s="398">
        <v>2</v>
      </c>
      <c r="W31" s="172">
        <f t="shared" si="9"/>
        <v>7.86</v>
      </c>
      <c r="X31" s="167">
        <v>0</v>
      </c>
      <c r="Y31" s="172">
        <f t="shared" si="10"/>
        <v>0</v>
      </c>
      <c r="Z31" s="167">
        <v>2</v>
      </c>
      <c r="AA31" s="172">
        <f t="shared" si="11"/>
        <v>7.86</v>
      </c>
    </row>
    <row r="32" spans="1:27" ht="35" customHeight="1">
      <c r="A32" s="165" t="s">
        <v>135</v>
      </c>
      <c r="B32" s="163" t="s">
        <v>118</v>
      </c>
      <c r="C32" s="166">
        <v>5.39</v>
      </c>
      <c r="D32" s="167">
        <v>7</v>
      </c>
      <c r="E32" s="401">
        <f t="shared" si="12"/>
        <v>37.729999999999997</v>
      </c>
      <c r="F32" s="405">
        <v>0</v>
      </c>
      <c r="G32" s="172">
        <f t="shared" si="1"/>
        <v>0</v>
      </c>
      <c r="H32" s="413">
        <v>0</v>
      </c>
      <c r="I32" s="172">
        <f t="shared" si="2"/>
        <v>0</v>
      </c>
      <c r="J32" s="379">
        <v>4</v>
      </c>
      <c r="K32" s="363">
        <f t="shared" si="3"/>
        <v>21.56</v>
      </c>
      <c r="L32" s="382">
        <v>1</v>
      </c>
      <c r="M32" s="387">
        <f t="shared" si="4"/>
        <v>5.39</v>
      </c>
      <c r="N32" s="386">
        <v>1</v>
      </c>
      <c r="O32" s="385">
        <f t="shared" si="5"/>
        <v>5.39</v>
      </c>
      <c r="P32" s="371">
        <v>0</v>
      </c>
      <c r="Q32" s="375">
        <f t="shared" si="6"/>
        <v>0</v>
      </c>
      <c r="R32" s="372">
        <v>2</v>
      </c>
      <c r="S32" s="172">
        <f t="shared" si="7"/>
        <v>10.78</v>
      </c>
      <c r="T32" s="392">
        <v>3</v>
      </c>
      <c r="U32" s="172">
        <f t="shared" si="8"/>
        <v>16.169999999999998</v>
      </c>
      <c r="V32" s="398">
        <v>1</v>
      </c>
      <c r="W32" s="172">
        <f t="shared" si="9"/>
        <v>5.39</v>
      </c>
      <c r="X32" s="167">
        <v>2</v>
      </c>
      <c r="Y32" s="172">
        <f t="shared" si="10"/>
        <v>10.78</v>
      </c>
      <c r="Z32" s="167">
        <v>0</v>
      </c>
      <c r="AA32" s="172">
        <f t="shared" si="11"/>
        <v>0</v>
      </c>
    </row>
    <row r="33" spans="1:27" ht="35" customHeight="1" thickBot="1">
      <c r="A33" s="173" t="s">
        <v>136</v>
      </c>
      <c r="B33" s="163" t="s">
        <v>137</v>
      </c>
      <c r="C33" s="174">
        <v>6.1</v>
      </c>
      <c r="D33" s="168">
        <v>95</v>
      </c>
      <c r="E33" s="402">
        <f t="shared" si="12"/>
        <v>579.5</v>
      </c>
      <c r="F33" s="405">
        <v>15</v>
      </c>
      <c r="G33" s="172">
        <f t="shared" si="1"/>
        <v>91.5</v>
      </c>
      <c r="H33" s="415">
        <v>15</v>
      </c>
      <c r="I33" s="172">
        <f t="shared" si="2"/>
        <v>91.5</v>
      </c>
      <c r="J33" s="377">
        <f>30+8</f>
        <v>38</v>
      </c>
      <c r="K33" s="363">
        <f t="shared" si="3"/>
        <v>231.79999999999998</v>
      </c>
      <c r="L33" s="383">
        <v>10</v>
      </c>
      <c r="M33" s="387">
        <f t="shared" si="4"/>
        <v>61</v>
      </c>
      <c r="N33" s="388">
        <v>6</v>
      </c>
      <c r="O33" s="385">
        <f t="shared" si="5"/>
        <v>36.599999999999994</v>
      </c>
      <c r="P33" s="371">
        <v>12</v>
      </c>
      <c r="Q33" s="375">
        <f t="shared" si="6"/>
        <v>73.199999999999989</v>
      </c>
      <c r="R33" s="374">
        <v>10</v>
      </c>
      <c r="S33" s="172">
        <f t="shared" si="7"/>
        <v>61</v>
      </c>
      <c r="T33" s="394">
        <v>3</v>
      </c>
      <c r="U33" s="172">
        <f t="shared" si="8"/>
        <v>18.299999999999997</v>
      </c>
      <c r="V33" s="400">
        <v>0</v>
      </c>
      <c r="W33" s="172">
        <f t="shared" si="9"/>
        <v>0</v>
      </c>
      <c r="X33" s="168">
        <v>15</v>
      </c>
      <c r="Y33" s="172">
        <f t="shared" si="10"/>
        <v>91.5</v>
      </c>
      <c r="Z33" s="168">
        <v>10</v>
      </c>
      <c r="AA33" s="172">
        <f t="shared" si="11"/>
        <v>61</v>
      </c>
    </row>
    <row r="34" spans="1:27" ht="21.15" customHeight="1" thickBot="1">
      <c r="A34" s="655" t="s">
        <v>229</v>
      </c>
      <c r="B34" s="656"/>
      <c r="C34" s="656"/>
      <c r="D34" s="657"/>
      <c r="E34" s="175">
        <f>SUM(E8:E33)</f>
        <v>9541.9</v>
      </c>
      <c r="F34" s="403"/>
      <c r="G34" s="217">
        <f>SUM(G8:G33)</f>
        <v>1315.84</v>
      </c>
      <c r="H34" s="276"/>
      <c r="I34" s="217">
        <f>SUM(I5:I33)</f>
        <v>1315.84</v>
      </c>
      <c r="J34" s="276"/>
      <c r="K34" s="217">
        <f>SUM(K5:K33)</f>
        <v>7395.4550000000008</v>
      </c>
      <c r="L34" s="276"/>
      <c r="M34" s="217">
        <f>SUM(M5:M33)</f>
        <v>813.2299999999999</v>
      </c>
      <c r="N34" s="276"/>
      <c r="O34" s="217">
        <f>SUM(O5:O33)</f>
        <v>2227.9500000000003</v>
      </c>
      <c r="P34" s="276"/>
      <c r="Q34" s="217">
        <f>SUM(Q5:Q33)</f>
        <v>1800.7799999999997</v>
      </c>
      <c r="R34" s="276"/>
      <c r="S34" s="217">
        <f>SUM(S5:S33)</f>
        <v>5291.5383333333339</v>
      </c>
      <c r="T34" s="276"/>
      <c r="U34" s="217">
        <f>SUM(U5:U33)</f>
        <v>5887.9549999999999</v>
      </c>
      <c r="V34" s="276"/>
      <c r="W34" s="217">
        <f>SUM(W5:W33)</f>
        <v>3498.6200000000008</v>
      </c>
      <c r="X34" s="276"/>
      <c r="Y34" s="217">
        <f>SUM(Y5:Y33)</f>
        <v>5041.8450000000012</v>
      </c>
      <c r="Z34" s="276"/>
      <c r="AA34" s="217">
        <f>SUM(AA5:AA33)</f>
        <v>2513.4249999999997</v>
      </c>
    </row>
    <row r="35" spans="1:27" s="194" customFormat="1" ht="21.15" customHeight="1">
      <c r="A35" s="653"/>
      <c r="B35" s="654"/>
      <c r="C35" s="654"/>
      <c r="D35" s="654"/>
      <c r="E35" s="217" t="s">
        <v>309</v>
      </c>
      <c r="G35" s="219" t="s">
        <v>306</v>
      </c>
      <c r="I35" s="219" t="s">
        <v>307</v>
      </c>
      <c r="K35" s="219" t="s">
        <v>308</v>
      </c>
      <c r="L35" s="185"/>
      <c r="M35" s="219" t="s">
        <v>383</v>
      </c>
      <c r="N35" s="185"/>
      <c r="O35" s="219" t="s">
        <v>363</v>
      </c>
      <c r="P35" s="185"/>
      <c r="Q35" s="219" t="s">
        <v>364</v>
      </c>
      <c r="S35" s="219" t="s">
        <v>384</v>
      </c>
      <c r="U35" s="219" t="s">
        <v>385</v>
      </c>
      <c r="W35" s="219" t="s">
        <v>386</v>
      </c>
      <c r="Y35" s="219" t="s">
        <v>387</v>
      </c>
      <c r="AA35" s="219" t="s">
        <v>388</v>
      </c>
    </row>
    <row r="36" spans="1:27">
      <c r="A36" s="218" t="s">
        <v>262</v>
      </c>
      <c r="B36" s="638">
        <v>0.02</v>
      </c>
      <c r="C36" s="639"/>
      <c r="D36" s="639"/>
      <c r="E36" s="284">
        <f>E34*B36</f>
        <v>190.83799999999999</v>
      </c>
      <c r="F36" s="284"/>
      <c r="G36" s="284">
        <f>G34*B36</f>
        <v>26.316800000000001</v>
      </c>
      <c r="H36" s="276"/>
      <c r="I36" s="282">
        <f>B36*I34</f>
        <v>26.316800000000001</v>
      </c>
      <c r="K36" s="282">
        <f>B36*K34</f>
        <v>147.90910000000002</v>
      </c>
      <c r="L36" s="369"/>
      <c r="M36" s="282">
        <f>B36*M34</f>
        <v>16.264599999999998</v>
      </c>
      <c r="N36" s="369"/>
      <c r="O36" s="282">
        <f>O34*B36</f>
        <v>44.559000000000005</v>
      </c>
      <c r="P36" s="369"/>
      <c r="Q36" s="282">
        <f>B36*Q34</f>
        <v>36.015599999999999</v>
      </c>
      <c r="S36" s="282">
        <f>S34*B36</f>
        <v>105.83076666666668</v>
      </c>
      <c r="U36" s="282">
        <f>U34*B36</f>
        <v>117.7591</v>
      </c>
      <c r="W36" s="282">
        <f>W34*B36</f>
        <v>69.972400000000022</v>
      </c>
      <c r="Y36" s="282">
        <f>B36*Y34</f>
        <v>100.83690000000003</v>
      </c>
      <c r="AA36" s="282">
        <f>B36*AA34</f>
        <v>50.268499999999996</v>
      </c>
    </row>
    <row r="37" spans="1:27">
      <c r="A37" s="219" t="s">
        <v>263</v>
      </c>
      <c r="B37" s="638">
        <v>0.02</v>
      </c>
      <c r="C37" s="639"/>
      <c r="D37" s="639"/>
      <c r="E37" s="285">
        <f>(E36+E34)*B37</f>
        <v>194.65475999999998</v>
      </c>
      <c r="F37" s="276"/>
      <c r="G37" s="285">
        <f>B37*(G34+G36)</f>
        <v>26.843136000000001</v>
      </c>
      <c r="H37" s="276"/>
      <c r="I37" s="282">
        <f>B37*(I34+I36)</f>
        <v>26.843136000000001</v>
      </c>
      <c r="K37" s="282">
        <f>B37*(K34+K36)</f>
        <v>150.86728200000002</v>
      </c>
      <c r="L37" s="369"/>
      <c r="M37" s="282">
        <f>(M34+M36)*B37</f>
        <v>16.589891999999999</v>
      </c>
      <c r="N37" s="369"/>
      <c r="O37" s="282">
        <f>B37*(O34+O36)</f>
        <v>45.45018000000001</v>
      </c>
      <c r="P37" s="369"/>
      <c r="Q37" s="282">
        <f>B37*(Q34+Q36)</f>
        <v>36.735911999999992</v>
      </c>
      <c r="S37" s="282">
        <f>B37*(S34+S36)</f>
        <v>107.94738200000002</v>
      </c>
      <c r="U37" s="282">
        <f>B37*(U34+U36)</f>
        <v>120.114282</v>
      </c>
      <c r="W37" s="282">
        <f>B37*(W34+W36)</f>
        <v>71.371848000000014</v>
      </c>
      <c r="Y37" s="282">
        <f>B37*(Y34+Y36)</f>
        <v>102.85363800000003</v>
      </c>
      <c r="AA37" s="282">
        <f>B37*(AA34+AA36)</f>
        <v>51.273869999999995</v>
      </c>
    </row>
    <row r="38" spans="1:27">
      <c r="A38" s="219" t="s">
        <v>230</v>
      </c>
      <c r="B38" s="640">
        <f>B39+B40+B44</f>
        <v>9.2499999999999999E-2</v>
      </c>
      <c r="C38" s="641"/>
      <c r="D38" s="641"/>
      <c r="E38" s="287"/>
      <c r="F38" s="276"/>
      <c r="G38" s="287"/>
      <c r="H38" s="276"/>
      <c r="I38" s="287"/>
      <c r="K38" s="287"/>
      <c r="L38" s="408"/>
      <c r="M38" s="287"/>
      <c r="N38" s="408"/>
      <c r="O38" s="287"/>
      <c r="P38" s="408"/>
      <c r="Q38" s="287"/>
      <c r="S38" s="287"/>
      <c r="U38" s="287"/>
      <c r="W38" s="287"/>
      <c r="Y38" s="287"/>
      <c r="AA38" s="219"/>
    </row>
    <row r="39" spans="1:27">
      <c r="A39" s="219" t="s">
        <v>99</v>
      </c>
      <c r="B39" s="640">
        <f>'Licitante - Mão de Obra'!F118</f>
        <v>1.6500000000000001E-2</v>
      </c>
      <c r="C39" s="641"/>
      <c r="D39" s="641"/>
      <c r="E39" s="285">
        <f>(E34+E36+E37)*B39</f>
        <v>163.80198053999999</v>
      </c>
      <c r="F39" s="276"/>
      <c r="G39" s="285">
        <f>B39*(G34+G36+G37)</f>
        <v>22.588498944000001</v>
      </c>
      <c r="H39" s="276"/>
      <c r="I39" s="282">
        <f>B39*(I34+I36+I37)</f>
        <v>22.588498944000001</v>
      </c>
      <c r="K39" s="282">
        <f>B39*(K34+K36+K37)</f>
        <v>126.95481780300003</v>
      </c>
      <c r="L39" s="369"/>
      <c r="M39" s="282">
        <f>B39*(M34+M36+M37)</f>
        <v>13.960394117999998</v>
      </c>
      <c r="N39" s="369"/>
      <c r="O39" s="282">
        <f>B39*(O34+O36+O37)</f>
        <v>38.246326470000007</v>
      </c>
      <c r="P39" s="369"/>
      <c r="Q39" s="282">
        <f>B39*(Q34+Q36+Q37)</f>
        <v>30.913269947999996</v>
      </c>
      <c r="S39" s="282">
        <f>B39*(S34+S36+S37)</f>
        <v>90.837721953000027</v>
      </c>
      <c r="U39" s="282">
        <f>B39*(U34+U36+U37)</f>
        <v>101.076168303</v>
      </c>
      <c r="W39" s="282">
        <f>B39*(W34+W36+W37)</f>
        <v>60.059410092000022</v>
      </c>
      <c r="Y39" s="282">
        <f>B39*(Y34+Y36+Y37)</f>
        <v>86.551336377000027</v>
      </c>
      <c r="AA39" s="282">
        <f>B39*(AA34+AA36+AA37)</f>
        <v>43.146961605000001</v>
      </c>
    </row>
    <row r="40" spans="1:27">
      <c r="A40" s="219" t="s">
        <v>101</v>
      </c>
      <c r="B40" s="640">
        <f>'Licitante - Mão de Obra'!F119</f>
        <v>7.5999999999999998E-2</v>
      </c>
      <c r="C40" s="641"/>
      <c r="D40" s="641"/>
      <c r="E40" s="285">
        <f>(E34+E36+E37)*B40</f>
        <v>754.48184975999993</v>
      </c>
      <c r="F40" s="276"/>
      <c r="G40" s="285">
        <f>B40*(G34+G36+G37)</f>
        <v>104.04399513599999</v>
      </c>
      <c r="H40" s="276"/>
      <c r="I40" s="282">
        <f>B40*(I34+I36+I37)</f>
        <v>104.04399513599999</v>
      </c>
      <c r="K40" s="282">
        <f>B40*(K34+K36+K37)</f>
        <v>584.76158503200008</v>
      </c>
      <c r="L40" s="369"/>
      <c r="M40" s="282">
        <f>B40*(M34+M36+M37)</f>
        <v>64.302421391999985</v>
      </c>
      <c r="N40" s="369"/>
      <c r="O40" s="282">
        <f>B40*(O34+O36+O37)</f>
        <v>176.16489768000002</v>
      </c>
      <c r="P40" s="369"/>
      <c r="Q40" s="282">
        <f>B40*(Q34+Q36+Q37)</f>
        <v>142.38839491199997</v>
      </c>
      <c r="S40" s="282">
        <f>B40*(S34+S36+S37)</f>
        <v>418.40405263200006</v>
      </c>
      <c r="U40" s="282">
        <f>B40*(U34+U36+U37)</f>
        <v>465.56295703199999</v>
      </c>
      <c r="W40" s="282">
        <f>B40*(W34+W36+W37)</f>
        <v>276.6372828480001</v>
      </c>
      <c r="Y40" s="282">
        <f>B40*(Y34+Y36+Y37)</f>
        <v>398.66070088800006</v>
      </c>
      <c r="AA40" s="282">
        <f>B40*(AA34+AA36+AA37)</f>
        <v>198.73752011999997</v>
      </c>
    </row>
    <row r="41" spans="1:27" s="210" customFormat="1">
      <c r="A41" s="219" t="s">
        <v>314</v>
      </c>
      <c r="B41" s="232"/>
      <c r="C41" s="283">
        <v>0.02</v>
      </c>
      <c r="D41" s="278"/>
      <c r="E41" s="285">
        <f>(E34+E36+E37)*C41</f>
        <v>198.54785519999999</v>
      </c>
      <c r="F41" s="276"/>
      <c r="G41" s="286">
        <f>C41*(G34+G36+G37)</f>
        <v>27.37999872</v>
      </c>
      <c r="H41" s="276"/>
      <c r="I41" s="282">
        <f>C41*(I34+I36+I37)</f>
        <v>27.37999872</v>
      </c>
      <c r="K41" s="282">
        <f>C41*(K34+K36+K37)</f>
        <v>153.88462764000002</v>
      </c>
      <c r="L41" s="369"/>
      <c r="M41" s="282">
        <f>C41*(M34+M36+M37)</f>
        <v>16.921689839999996</v>
      </c>
      <c r="N41" s="369"/>
      <c r="O41" s="282">
        <f>C41*(O34+O36+O37)</f>
        <v>46.359183600000009</v>
      </c>
      <c r="P41" s="369"/>
      <c r="Q41" s="282">
        <f>C41*(Q34+Q36+Q37)</f>
        <v>37.470630239999998</v>
      </c>
      <c r="S41" s="282">
        <f>C41*(S34+S36+S37)</f>
        <v>110.10632964000003</v>
      </c>
      <c r="U41" s="287"/>
      <c r="W41" s="287"/>
      <c r="Y41" s="287"/>
      <c r="AA41" s="287"/>
    </row>
    <row r="42" spans="1:27" s="210" customFormat="1">
      <c r="A42" s="219" t="s">
        <v>315</v>
      </c>
      <c r="B42" s="232"/>
      <c r="C42" s="277">
        <v>0.05</v>
      </c>
      <c r="D42" s="278"/>
      <c r="E42" s="287"/>
      <c r="F42" s="276"/>
      <c r="G42" s="287"/>
      <c r="H42" s="276"/>
      <c r="I42" s="287"/>
      <c r="K42" s="287"/>
      <c r="L42" s="408"/>
      <c r="M42" s="287"/>
      <c r="N42" s="408"/>
      <c r="O42" s="287"/>
      <c r="P42" s="408"/>
      <c r="Q42" s="287"/>
      <c r="S42" s="287"/>
      <c r="U42" s="287"/>
      <c r="W42" s="287"/>
      <c r="Y42" s="282">
        <f>C42*(Y34+Y36+Y37)</f>
        <v>262.27677690000007</v>
      </c>
      <c r="AA42" s="287"/>
    </row>
    <row r="43" spans="1:27" s="210" customFormat="1">
      <c r="A43" s="219" t="s">
        <v>316</v>
      </c>
      <c r="B43" s="232"/>
      <c r="C43" s="277">
        <v>0.03</v>
      </c>
      <c r="D43" s="278"/>
      <c r="E43" s="287"/>
      <c r="F43" s="276"/>
      <c r="G43" s="287"/>
      <c r="H43" s="276"/>
      <c r="I43" s="287"/>
      <c r="K43" s="287"/>
      <c r="L43" s="408"/>
      <c r="M43" s="287"/>
      <c r="N43" s="408"/>
      <c r="O43" s="287"/>
      <c r="P43" s="408"/>
      <c r="Q43" s="287"/>
      <c r="S43" s="287"/>
      <c r="U43" s="282">
        <f>C43*(U34+U36+U37)</f>
        <v>183.77485145999998</v>
      </c>
      <c r="W43" s="282">
        <f>C43*(W34+W36+W37)</f>
        <v>109.19892744000003</v>
      </c>
      <c r="Y43" s="287"/>
      <c r="AA43" s="287"/>
    </row>
    <row r="44" spans="1:27">
      <c r="A44" s="219" t="s">
        <v>317</v>
      </c>
      <c r="B44" s="232"/>
      <c r="C44" s="233">
        <v>0.03</v>
      </c>
      <c r="D44" s="234"/>
      <c r="E44" s="287"/>
      <c r="F44" s="276"/>
      <c r="G44" s="287"/>
      <c r="H44" s="276"/>
      <c r="I44" s="287"/>
      <c r="K44" s="287"/>
      <c r="L44" s="408"/>
      <c r="M44" s="287"/>
      <c r="N44" s="408"/>
      <c r="O44" s="287"/>
      <c r="P44" s="408"/>
      <c r="Q44" s="287"/>
      <c r="S44" s="287"/>
      <c r="U44" s="287"/>
      <c r="W44" s="287"/>
      <c r="Y44" s="287"/>
      <c r="AA44" s="282">
        <f>C44*(AA34+AA36+AA37)</f>
        <v>78.449021099999996</v>
      </c>
    </row>
    <row r="45" spans="1:27">
      <c r="A45" s="659" t="s">
        <v>313</v>
      </c>
      <c r="B45" s="660"/>
      <c r="C45" s="660"/>
      <c r="D45" s="660"/>
      <c r="E45" s="220">
        <f>SUM(E34:E44)</f>
        <v>11044.224445499998</v>
      </c>
      <c r="G45" s="220">
        <f>SUM(G34,G36,G37,G39,G40,G41)</f>
        <v>1523.0124288</v>
      </c>
      <c r="I45" s="220">
        <f>SUM(I34:I41)</f>
        <v>1523.0124288</v>
      </c>
      <c r="K45" s="220">
        <f>SUM(K34:K41)</f>
        <v>8559.8324124750015</v>
      </c>
      <c r="L45" s="409"/>
      <c r="M45" s="220">
        <f>SUM(M34:M41)</f>
        <v>941.26899734999984</v>
      </c>
      <c r="N45" s="409"/>
      <c r="O45" s="220">
        <f>SUM(O34:O41)</f>
        <v>2578.7295877500005</v>
      </c>
      <c r="P45" s="409"/>
      <c r="Q45" s="220">
        <f>SUM(Q34:Q41)</f>
        <v>2084.3038071000001</v>
      </c>
      <c r="S45" s="220">
        <f>SUM(S34:S41)</f>
        <v>6124.6645862250016</v>
      </c>
      <c r="U45" s="220">
        <f>SUM(U34:U43)</f>
        <v>6876.2423587949988</v>
      </c>
      <c r="W45" s="220">
        <f>SUM(W34:W43)</f>
        <v>4085.8598683800019</v>
      </c>
      <c r="Y45" s="220">
        <f>SUM(Y34:Y42)</f>
        <v>5993.0243521650009</v>
      </c>
      <c r="AA45" s="220">
        <f>SUM(AA34:AA44)</f>
        <v>2935.3008728249997</v>
      </c>
    </row>
    <row r="46" spans="1:27" ht="15" thickBot="1">
      <c r="E46" s="160" t="s">
        <v>334</v>
      </c>
      <c r="G46" s="160" t="s">
        <v>335</v>
      </c>
      <c r="I46" s="160" t="s">
        <v>336</v>
      </c>
      <c r="K46" s="160" t="s">
        <v>337</v>
      </c>
      <c r="L46" s="276"/>
      <c r="M46" s="210" t="s">
        <v>389</v>
      </c>
      <c r="O46" s="210" t="s">
        <v>390</v>
      </c>
      <c r="Q46" s="210" t="s">
        <v>391</v>
      </c>
      <c r="S46" s="160" t="s">
        <v>329</v>
      </c>
      <c r="U46" s="160" t="s">
        <v>332</v>
      </c>
      <c r="W46" s="160" t="s">
        <v>333</v>
      </c>
      <c r="Y46" s="160" t="s">
        <v>330</v>
      </c>
      <c r="AA46" s="160" t="s">
        <v>331</v>
      </c>
    </row>
    <row r="47" spans="1:27" ht="19" thickBot="1">
      <c r="A47" s="319" t="s">
        <v>338</v>
      </c>
      <c r="B47" s="320">
        <f>E45+G45+I45+K45+M45+O45+Q45+S45+U45+W45+Y45+AA45</f>
        <v>54269.476146165005</v>
      </c>
      <c r="C47" s="185"/>
      <c r="D47" s="185"/>
      <c r="E47" s="185"/>
      <c r="F47" s="185"/>
    </row>
    <row r="48" spans="1:27">
      <c r="A48" s="658"/>
      <c r="B48" s="658"/>
      <c r="C48" s="658"/>
      <c r="D48" s="279"/>
      <c r="E48" s="280"/>
      <c r="F48" s="185"/>
      <c r="K48" s="420"/>
    </row>
    <row r="49" spans="1:6">
      <c r="A49" s="658"/>
      <c r="B49" s="658"/>
      <c r="C49" s="658"/>
      <c r="D49" s="237"/>
      <c r="E49" s="281"/>
      <c r="F49" s="185"/>
    </row>
    <row r="50" spans="1:6">
      <c r="A50" s="658"/>
      <c r="B50" s="658"/>
      <c r="C50" s="658"/>
      <c r="D50" s="237"/>
      <c r="E50" s="281"/>
      <c r="F50" s="185"/>
    </row>
    <row r="51" spans="1:6">
      <c r="A51" s="658"/>
      <c r="B51" s="658"/>
      <c r="C51" s="658"/>
      <c r="D51" s="237"/>
      <c r="E51" s="281"/>
      <c r="F51" s="185"/>
    </row>
    <row r="52" spans="1:6">
      <c r="A52" s="185"/>
      <c r="B52" s="185"/>
      <c r="C52" s="185"/>
      <c r="D52" s="185"/>
      <c r="E52" s="185"/>
      <c r="F52" s="185"/>
    </row>
  </sheetData>
  <mergeCells count="29">
    <mergeCell ref="A48:C48"/>
    <mergeCell ref="A49:C49"/>
    <mergeCell ref="A50:C50"/>
    <mergeCell ref="A51:C51"/>
    <mergeCell ref="A45:D45"/>
    <mergeCell ref="B37:D37"/>
    <mergeCell ref="B38:D38"/>
    <mergeCell ref="B39:D39"/>
    <mergeCell ref="B40:D40"/>
    <mergeCell ref="A1:E1"/>
    <mergeCell ref="A2:E2"/>
    <mergeCell ref="A3:A4"/>
    <mergeCell ref="B3:B4"/>
    <mergeCell ref="C3:C4"/>
    <mergeCell ref="D3:E3"/>
    <mergeCell ref="A35:D35"/>
    <mergeCell ref="A34:D34"/>
    <mergeCell ref="B36:D36"/>
    <mergeCell ref="F3:G3"/>
    <mergeCell ref="H3:I3"/>
    <mergeCell ref="Z3:AA3"/>
    <mergeCell ref="J3:K3"/>
    <mergeCell ref="R3:S3"/>
    <mergeCell ref="T3:U3"/>
    <mergeCell ref="V3:W3"/>
    <mergeCell ref="X3:Y3"/>
    <mergeCell ref="L3:M3"/>
    <mergeCell ref="N3:O3"/>
    <mergeCell ref="P3:Q3"/>
  </mergeCells>
  <pageMargins left="0" right="0" top="0.13888888888888901" bottom="0.13888888888888901" header="0" footer="0"/>
  <pageSetup paperSize="9" scale="86" pageOrder="overThenDown" orientation="portrait" horizontalDpi="300" verticalDpi="300"/>
  <headerFooter>
    <oddHeader>&amp;C&amp;"Arial,Normal"&amp;10&amp;Kffffff&amp;A</oddHeader>
    <oddFooter>&amp;C&amp;"Arial,Normal"&amp;10&amp;KffffffPágina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6"/>
  <dimension ref="A1:W145"/>
  <sheetViews>
    <sheetView showGridLines="0" tabSelected="1" topLeftCell="A55" zoomScale="90" zoomScaleNormal="90" workbookViewId="0">
      <selection activeCell="I78" sqref="I78:J78"/>
    </sheetView>
  </sheetViews>
  <sheetFormatPr defaultColWidth="7.6640625" defaultRowHeight="14"/>
  <cols>
    <col min="1" max="1" width="4.1640625" style="1" customWidth="1"/>
    <col min="2" max="2" width="6.6640625" style="1" customWidth="1"/>
    <col min="3" max="3" width="6.1640625" style="1" customWidth="1"/>
    <col min="4" max="4" width="5.6640625" style="1" customWidth="1"/>
    <col min="5" max="5" width="8.58203125" style="1" customWidth="1"/>
    <col min="6" max="6" width="5.6640625" style="1" customWidth="1"/>
    <col min="7" max="7" width="8.6640625" style="1" customWidth="1"/>
    <col min="8" max="8" width="10.4140625" style="1" customWidth="1"/>
    <col min="9" max="9" width="18.08203125" style="1" customWidth="1"/>
    <col min="10" max="10" width="11.5" style="1" customWidth="1"/>
    <col min="11" max="11" width="21.6640625" style="1" customWidth="1"/>
    <col min="12" max="12" width="19.1640625" style="1" customWidth="1"/>
    <col min="13" max="13" width="17.33203125" style="1" customWidth="1"/>
    <col min="14" max="14" width="12.6640625" style="1" bestFit="1" customWidth="1"/>
    <col min="15" max="17" width="12.6640625" style="9" customWidth="1"/>
    <col min="18" max="18" width="14.5" style="1" customWidth="1"/>
    <col min="19" max="19" width="13.08203125" style="1" customWidth="1"/>
    <col min="20" max="20" width="12.9140625" style="1" customWidth="1"/>
    <col min="21" max="21" width="13.33203125" style="1" customWidth="1"/>
    <col min="22" max="22" width="13.08203125" style="1" customWidth="1"/>
    <col min="23" max="16384" width="7.6640625" style="1"/>
  </cols>
  <sheetData>
    <row r="1" spans="1:22" ht="72.650000000000006" customHeight="1" thickBot="1">
      <c r="A1" s="744" t="s">
        <v>339</v>
      </c>
      <c r="B1" s="745"/>
      <c r="C1" s="745"/>
      <c r="D1" s="745"/>
      <c r="E1" s="745"/>
      <c r="F1" s="745"/>
      <c r="G1" s="745"/>
      <c r="H1" s="745"/>
      <c r="I1" s="745"/>
      <c r="J1" s="745"/>
      <c r="K1" s="746"/>
    </row>
    <row r="2" spans="1:22" ht="20" customHeight="1">
      <c r="A2" s="747" t="s">
        <v>2</v>
      </c>
      <c r="B2" s="748"/>
      <c r="C2" s="748"/>
      <c r="D2" s="749" t="s">
        <v>401</v>
      </c>
      <c r="E2" s="749"/>
      <c r="F2" s="749"/>
      <c r="G2" s="749"/>
      <c r="H2" s="749"/>
      <c r="I2" s="749"/>
      <c r="J2" s="749"/>
      <c r="K2" s="750"/>
    </row>
    <row r="3" spans="1:22" ht="20" customHeight="1">
      <c r="A3" s="751" t="s">
        <v>3</v>
      </c>
      <c r="B3" s="752"/>
      <c r="C3" s="752"/>
      <c r="D3" s="664" t="s">
        <v>402</v>
      </c>
      <c r="E3" s="664"/>
      <c r="F3" s="664"/>
      <c r="G3" s="664"/>
      <c r="H3" s="664"/>
      <c r="I3" s="664"/>
      <c r="J3" s="664"/>
      <c r="K3" s="753"/>
    </row>
    <row r="4" spans="1:22" ht="20" customHeight="1" thickBot="1">
      <c r="A4" s="754" t="s">
        <v>4</v>
      </c>
      <c r="B4" s="755"/>
      <c r="C4" s="755"/>
      <c r="D4" s="756"/>
      <c r="E4" s="757"/>
      <c r="F4" s="757"/>
      <c r="G4" s="33" t="s">
        <v>5</v>
      </c>
      <c r="H4" s="108"/>
      <c r="I4" s="758"/>
      <c r="J4" s="759"/>
      <c r="K4" s="760"/>
    </row>
    <row r="5" spans="1:22" ht="15" customHeight="1" thickBot="1">
      <c r="A5" s="2"/>
      <c r="B5" s="2"/>
      <c r="C5" s="2"/>
      <c r="D5" s="2"/>
      <c r="E5" s="2"/>
      <c r="F5" s="2"/>
      <c r="G5" s="2"/>
      <c r="H5" s="2"/>
      <c r="I5" s="3"/>
      <c r="J5" s="2"/>
      <c r="K5" s="3"/>
    </row>
    <row r="6" spans="1:22" ht="20" customHeight="1" thickBot="1">
      <c r="A6" s="623" t="s">
        <v>6</v>
      </c>
      <c r="B6" s="624"/>
      <c r="C6" s="625"/>
      <c r="D6" s="576" t="s">
        <v>1</v>
      </c>
      <c r="E6" s="577"/>
      <c r="F6" s="577"/>
      <c r="G6" s="577"/>
      <c r="H6" s="577"/>
      <c r="I6" s="577"/>
      <c r="J6" s="577"/>
      <c r="K6" s="578"/>
    </row>
    <row r="7" spans="1:22" ht="39.5" customHeight="1" thickBot="1">
      <c r="A7" s="626"/>
      <c r="B7" s="627"/>
      <c r="C7" s="628"/>
      <c r="D7" s="800" t="s">
        <v>270</v>
      </c>
      <c r="E7" s="801"/>
      <c r="F7" s="801"/>
      <c r="G7" s="801"/>
      <c r="H7" s="801"/>
      <c r="I7" s="801"/>
      <c r="J7" s="802"/>
      <c r="K7" s="303" t="s">
        <v>359</v>
      </c>
      <c r="L7" s="303" t="s">
        <v>360</v>
      </c>
      <c r="M7" s="303" t="s">
        <v>361</v>
      </c>
      <c r="N7" s="303" t="s">
        <v>362</v>
      </c>
      <c r="O7" s="353" t="s">
        <v>370</v>
      </c>
      <c r="P7" s="303" t="s">
        <v>371</v>
      </c>
      <c r="Q7" s="303" t="s">
        <v>372</v>
      </c>
      <c r="R7" s="303" t="s">
        <v>365</v>
      </c>
      <c r="S7" s="303" t="s">
        <v>366</v>
      </c>
      <c r="T7" s="303" t="s">
        <v>367</v>
      </c>
      <c r="U7" s="303" t="s">
        <v>368</v>
      </c>
      <c r="V7" s="303" t="s">
        <v>369</v>
      </c>
    </row>
    <row r="8" spans="1:22" ht="20" customHeight="1">
      <c r="A8" s="11" t="s">
        <v>7</v>
      </c>
      <c r="B8" s="601" t="s">
        <v>8</v>
      </c>
      <c r="C8" s="809"/>
      <c r="D8" s="809"/>
      <c r="E8" s="809"/>
      <c r="F8" s="809"/>
      <c r="G8" s="809"/>
      <c r="H8" s="809"/>
      <c r="I8" s="809"/>
      <c r="J8" s="810"/>
      <c r="K8" s="767">
        <f>'Licitante - Mão de Obra'!J6</f>
        <v>0</v>
      </c>
      <c r="L8" s="768"/>
      <c r="M8" s="768"/>
      <c r="N8" s="768"/>
      <c r="O8" s="768"/>
      <c r="P8" s="768"/>
      <c r="Q8" s="768"/>
      <c r="R8" s="768"/>
      <c r="S8" s="768"/>
      <c r="T8" s="768"/>
      <c r="U8" s="768"/>
      <c r="V8" s="768"/>
    </row>
    <row r="9" spans="1:22" ht="20" customHeight="1">
      <c r="A9" s="12" t="s">
        <v>7</v>
      </c>
      <c r="B9" s="471" t="s">
        <v>171</v>
      </c>
      <c r="C9" s="615"/>
      <c r="D9" s="615"/>
      <c r="E9" s="615"/>
      <c r="F9" s="615"/>
      <c r="G9" s="615"/>
      <c r="H9" s="615"/>
      <c r="I9" s="615"/>
      <c r="J9" s="469"/>
      <c r="K9" s="17" t="str">
        <f>'Licitante - Mão de Obra'!J7</f>
        <v>São Paulo</v>
      </c>
      <c r="L9" s="17" t="s">
        <v>318</v>
      </c>
      <c r="M9" s="17" t="s">
        <v>318</v>
      </c>
      <c r="N9" s="17" t="s">
        <v>318</v>
      </c>
      <c r="O9" s="17" t="s">
        <v>318</v>
      </c>
      <c r="P9" s="17" t="s">
        <v>318</v>
      </c>
      <c r="Q9" s="17" t="s">
        <v>318</v>
      </c>
      <c r="R9" s="17" t="s">
        <v>318</v>
      </c>
      <c r="S9" s="17" t="s">
        <v>319</v>
      </c>
      <c r="T9" s="17" t="s">
        <v>319</v>
      </c>
      <c r="U9" s="17" t="s">
        <v>320</v>
      </c>
      <c r="V9" s="17" t="s">
        <v>321</v>
      </c>
    </row>
    <row r="10" spans="1:22" ht="20" customHeight="1">
      <c r="A10" s="12" t="s">
        <v>7</v>
      </c>
      <c r="B10" s="470" t="s">
        <v>9</v>
      </c>
      <c r="C10" s="470"/>
      <c r="D10" s="470"/>
      <c r="E10" s="470"/>
      <c r="F10" s="470"/>
      <c r="G10" s="470"/>
      <c r="H10" s="470"/>
      <c r="I10" s="470"/>
      <c r="J10" s="470"/>
      <c r="K10" s="288" t="str">
        <f>'Licitante - Mão de Obra'!L7</f>
        <v>SEACSP/SIEMACO</v>
      </c>
      <c r="L10" s="288" t="str">
        <f>'Licitante - Mão de Obra'!L7</f>
        <v>SEACSP/SIEMACO</v>
      </c>
      <c r="M10" s="288" t="str">
        <f>'Licitante - Mão de Obra'!L7</f>
        <v>SEACSP/SIEMACO</v>
      </c>
      <c r="N10" s="288" t="str">
        <f>'Licitante - Mão de Obra'!$L7</f>
        <v>SEACSP/SIEMACO</v>
      </c>
      <c r="O10" s="288" t="str">
        <f>'Licitante - Mão de Obra'!$L7</f>
        <v>SEACSP/SIEMACO</v>
      </c>
      <c r="P10" s="288" t="str">
        <f>'Licitante - Mão de Obra'!$L7</f>
        <v>SEACSP/SIEMACO</v>
      </c>
      <c r="Q10" s="288" t="str">
        <f>'Licitante - Mão de Obra'!$L7</f>
        <v>SEACSP/SIEMACO</v>
      </c>
      <c r="R10" s="288" t="str">
        <f>'Licitante - Mão de Obra'!L7</f>
        <v>SEACSP/SIEMACO</v>
      </c>
      <c r="S10" s="288" t="str">
        <f>'Licitante - Mão de Obra'!L8</f>
        <v>SEACSP/SIEMACO</v>
      </c>
      <c r="T10" s="288" t="str">
        <f>'Licitante - Mão de Obra'!L8</f>
        <v>SEACSP/SIEMACO</v>
      </c>
      <c r="U10" s="288" t="str">
        <f>'Licitante - Mão de Obra'!L9</f>
        <v>SEACSP/SIEMACO</v>
      </c>
      <c r="V10" s="288" t="str">
        <f>'Licitante - Mão de Obra'!L10</f>
        <v>SEACSP/Sindeturh</v>
      </c>
    </row>
    <row r="11" spans="1:22" ht="20" customHeight="1">
      <c r="A11" s="12" t="s">
        <v>7</v>
      </c>
      <c r="B11" s="470" t="s">
        <v>10</v>
      </c>
      <c r="C11" s="470"/>
      <c r="D11" s="470"/>
      <c r="E11" s="470"/>
      <c r="F11" s="470"/>
      <c r="G11" s="470"/>
      <c r="H11" s="470"/>
      <c r="I11" s="470"/>
      <c r="J11" s="470"/>
      <c r="K11" s="290">
        <f>'Licitante - Mão de Obra'!M7</f>
        <v>2025</v>
      </c>
      <c r="L11" s="290">
        <f>'Licitante - Mão de Obra'!M7</f>
        <v>2025</v>
      </c>
      <c r="M11" s="290">
        <f>'Licitante - Mão de Obra'!M7</f>
        <v>2025</v>
      </c>
      <c r="N11" s="290">
        <f>'Licitante - Mão de Obra'!$M7</f>
        <v>2025</v>
      </c>
      <c r="O11" s="290">
        <f>'Licitante - Mão de Obra'!$M7</f>
        <v>2025</v>
      </c>
      <c r="P11" s="290">
        <f>'Licitante - Mão de Obra'!$M7</f>
        <v>2025</v>
      </c>
      <c r="Q11" s="290">
        <f>'Licitante - Mão de Obra'!$M7</f>
        <v>2025</v>
      </c>
      <c r="R11" s="290">
        <f>'Licitante - Mão de Obra'!M7</f>
        <v>2025</v>
      </c>
      <c r="S11" s="290">
        <f>'Licitante - Mão de Obra'!M8</f>
        <v>2025</v>
      </c>
      <c r="T11" s="290">
        <f>'Licitante - Mão de Obra'!M8</f>
        <v>2025</v>
      </c>
      <c r="U11" s="290">
        <f>'Licitante - Mão de Obra'!M9</f>
        <v>2025</v>
      </c>
      <c r="V11" s="290">
        <f>'Licitante - Mão de Obra'!M10</f>
        <v>2025</v>
      </c>
    </row>
    <row r="12" spans="1:22" ht="20" customHeight="1">
      <c r="A12" s="12" t="s">
        <v>7</v>
      </c>
      <c r="B12" s="780" t="s">
        <v>11</v>
      </c>
      <c r="C12" s="487"/>
      <c r="D12" s="487"/>
      <c r="E12" s="487"/>
      <c r="F12" s="487"/>
      <c r="G12" s="487"/>
      <c r="H12" s="487"/>
      <c r="I12" s="487"/>
      <c r="J12" s="489"/>
      <c r="K12" s="17">
        <v>36</v>
      </c>
      <c r="L12" s="17">
        <v>36</v>
      </c>
      <c r="M12" s="17">
        <v>36</v>
      </c>
      <c r="N12" s="17">
        <v>36</v>
      </c>
      <c r="O12" s="17">
        <v>36</v>
      </c>
      <c r="P12" s="17">
        <v>36</v>
      </c>
      <c r="Q12" s="17">
        <v>36</v>
      </c>
      <c r="R12" s="17">
        <v>36</v>
      </c>
      <c r="S12" s="17">
        <v>36</v>
      </c>
      <c r="T12" s="17">
        <v>36</v>
      </c>
      <c r="U12" s="17">
        <v>36</v>
      </c>
      <c r="V12" s="17">
        <v>36</v>
      </c>
    </row>
    <row r="13" spans="1:22" ht="20" customHeight="1">
      <c r="A13" s="12" t="s">
        <v>7</v>
      </c>
      <c r="B13" s="780" t="s">
        <v>12</v>
      </c>
      <c r="C13" s="487"/>
      <c r="D13" s="487"/>
      <c r="E13" s="487"/>
      <c r="F13" s="487"/>
      <c r="G13" s="487"/>
      <c r="H13" s="487"/>
      <c r="I13" s="487"/>
      <c r="J13" s="489"/>
      <c r="K13" s="17" t="s">
        <v>13</v>
      </c>
      <c r="L13" s="17" t="s">
        <v>13</v>
      </c>
      <c r="M13" s="17" t="s">
        <v>13</v>
      </c>
      <c r="N13" s="17" t="s">
        <v>13</v>
      </c>
      <c r="O13" s="17" t="s">
        <v>13</v>
      </c>
      <c r="P13" s="17" t="s">
        <v>13</v>
      </c>
      <c r="Q13" s="17" t="s">
        <v>13</v>
      </c>
      <c r="R13" s="17" t="s">
        <v>13</v>
      </c>
      <c r="S13" s="17" t="s">
        <v>13</v>
      </c>
      <c r="T13" s="17" t="s">
        <v>13</v>
      </c>
      <c r="U13" s="17" t="s">
        <v>13</v>
      </c>
      <c r="V13" s="17" t="s">
        <v>13</v>
      </c>
    </row>
    <row r="14" spans="1:22" ht="20" customHeight="1">
      <c r="A14" s="12" t="s">
        <v>7</v>
      </c>
      <c r="B14" s="780" t="s">
        <v>14</v>
      </c>
      <c r="C14" s="487"/>
      <c r="D14" s="487"/>
      <c r="E14" s="487"/>
      <c r="F14" s="487"/>
      <c r="G14" s="487"/>
      <c r="H14" s="487"/>
      <c r="I14" s="487"/>
      <c r="J14" s="489"/>
      <c r="K14" s="17" t="s">
        <v>15</v>
      </c>
      <c r="L14" s="17" t="s">
        <v>15</v>
      </c>
      <c r="M14" s="17" t="s">
        <v>15</v>
      </c>
      <c r="N14" s="17" t="s">
        <v>15</v>
      </c>
      <c r="O14" s="17" t="s">
        <v>15</v>
      </c>
      <c r="P14" s="17" t="s">
        <v>15</v>
      </c>
      <c r="Q14" s="17" t="s">
        <v>15</v>
      </c>
      <c r="R14" s="17" t="s">
        <v>15</v>
      </c>
      <c r="S14" s="17" t="s">
        <v>15</v>
      </c>
      <c r="T14" s="17" t="s">
        <v>15</v>
      </c>
      <c r="U14" s="17" t="s">
        <v>15</v>
      </c>
      <c r="V14" s="17" t="s">
        <v>15</v>
      </c>
    </row>
    <row r="15" spans="1:22" ht="20" customHeight="1" thickBot="1">
      <c r="A15" s="13" t="s">
        <v>7</v>
      </c>
      <c r="B15" s="781" t="s">
        <v>16</v>
      </c>
      <c r="C15" s="782"/>
      <c r="D15" s="782"/>
      <c r="E15" s="782"/>
      <c r="F15" s="782"/>
      <c r="G15" s="782"/>
      <c r="H15" s="782"/>
      <c r="I15" s="782"/>
      <c r="J15" s="783"/>
      <c r="K15" s="34">
        <v>5</v>
      </c>
      <c r="L15" s="34">
        <v>1</v>
      </c>
      <c r="M15" s="34">
        <v>1</v>
      </c>
      <c r="N15" s="34">
        <v>2</v>
      </c>
      <c r="O15" s="34">
        <v>1</v>
      </c>
      <c r="P15" s="34">
        <v>1</v>
      </c>
      <c r="Q15" s="34">
        <v>1</v>
      </c>
      <c r="R15" s="34">
        <v>2</v>
      </c>
      <c r="S15" s="34">
        <v>1</v>
      </c>
      <c r="T15" s="34">
        <v>1</v>
      </c>
      <c r="U15" s="34">
        <v>3</v>
      </c>
      <c r="V15" s="34">
        <v>1</v>
      </c>
    </row>
    <row r="16" spans="1:22" ht="15" customHeight="1" thickBot="1">
      <c r="A16" s="4"/>
      <c r="B16" s="4"/>
      <c r="C16" s="4"/>
      <c r="D16" s="4"/>
      <c r="E16" s="4"/>
      <c r="F16" s="4"/>
      <c r="G16" s="4"/>
      <c r="H16" s="4"/>
      <c r="I16" s="5"/>
      <c r="J16" s="4"/>
      <c r="K16" s="5"/>
    </row>
    <row r="17" spans="1:22" ht="20" customHeight="1" thickBot="1">
      <c r="A17" s="456" t="s">
        <v>17</v>
      </c>
      <c r="B17" s="483"/>
      <c r="C17" s="483"/>
      <c r="D17" s="483"/>
      <c r="E17" s="483"/>
      <c r="F17" s="483"/>
      <c r="G17" s="483"/>
      <c r="H17" s="483"/>
      <c r="I17" s="483"/>
      <c r="J17" s="483"/>
      <c r="K17" s="457"/>
    </row>
    <row r="18" spans="1:22" ht="20" customHeight="1">
      <c r="A18" s="16" t="s">
        <v>27</v>
      </c>
      <c r="B18" s="609" t="s">
        <v>12</v>
      </c>
      <c r="C18" s="609"/>
      <c r="D18" s="609"/>
      <c r="E18" s="609"/>
      <c r="F18" s="609"/>
      <c r="G18" s="609"/>
      <c r="H18" s="609"/>
      <c r="I18" s="609"/>
      <c r="J18" s="610"/>
      <c r="K18" s="294" t="s">
        <v>13</v>
      </c>
      <c r="L18" s="295" t="s">
        <v>13</v>
      </c>
      <c r="M18" s="295" t="s">
        <v>13</v>
      </c>
      <c r="N18" s="295" t="s">
        <v>13</v>
      </c>
      <c r="O18" s="295" t="s">
        <v>13</v>
      </c>
      <c r="P18" s="295" t="s">
        <v>13</v>
      </c>
      <c r="Q18" s="295" t="s">
        <v>13</v>
      </c>
      <c r="R18" s="295" t="s">
        <v>13</v>
      </c>
      <c r="S18" s="295" t="s">
        <v>13</v>
      </c>
      <c r="T18" s="295" t="s">
        <v>13</v>
      </c>
      <c r="U18" s="295" t="s">
        <v>13</v>
      </c>
      <c r="V18" s="295" t="s">
        <v>13</v>
      </c>
    </row>
    <row r="19" spans="1:22" ht="20" customHeight="1">
      <c r="A19" s="14" t="s">
        <v>37</v>
      </c>
      <c r="B19" s="615" t="s">
        <v>18</v>
      </c>
      <c r="C19" s="615"/>
      <c r="D19" s="615"/>
      <c r="E19" s="615"/>
      <c r="F19" s="615"/>
      <c r="G19" s="615"/>
      <c r="H19" s="615"/>
      <c r="I19" s="615"/>
      <c r="J19" s="469"/>
      <c r="K19" s="109" t="s">
        <v>19</v>
      </c>
      <c r="L19" s="109" t="s">
        <v>19</v>
      </c>
      <c r="M19" s="109" t="s">
        <v>19</v>
      </c>
      <c r="N19" s="109" t="s">
        <v>19</v>
      </c>
      <c r="O19" s="109" t="s">
        <v>373</v>
      </c>
      <c r="P19" s="109" t="s">
        <v>374</v>
      </c>
      <c r="Q19" s="109" t="s">
        <v>375</v>
      </c>
      <c r="R19" s="109" t="s">
        <v>19</v>
      </c>
      <c r="S19" s="109" t="s">
        <v>19</v>
      </c>
      <c r="T19" s="109" t="s">
        <v>19</v>
      </c>
      <c r="U19" s="109" t="s">
        <v>19</v>
      </c>
      <c r="V19" s="109" t="s">
        <v>19</v>
      </c>
    </row>
    <row r="20" spans="1:22" ht="20" customHeight="1">
      <c r="A20" s="14" t="s">
        <v>44</v>
      </c>
      <c r="B20" s="615" t="s">
        <v>20</v>
      </c>
      <c r="C20" s="615"/>
      <c r="D20" s="615"/>
      <c r="E20" s="615"/>
      <c r="F20" s="615"/>
      <c r="G20" s="615"/>
      <c r="H20" s="615"/>
      <c r="I20" s="615"/>
      <c r="J20" s="469"/>
      <c r="K20" s="110">
        <f>'Licitante - Mão de Obra'!K13</f>
        <v>1729.04</v>
      </c>
      <c r="L20" s="110">
        <f>'Licitante - Mão de Obra'!K18</f>
        <v>1729.04</v>
      </c>
      <c r="M20" s="110">
        <f>'Licitante - Mão de Obra'!K18</f>
        <v>1729.04</v>
      </c>
      <c r="N20" s="110">
        <f>'Licitante - Mão de Obra'!$K18</f>
        <v>1729.04</v>
      </c>
      <c r="O20" s="110">
        <f>'Licitante - Mão de Obra'!$K18</f>
        <v>1729.04</v>
      </c>
      <c r="P20" s="110">
        <f>'Licitante - Mão de Obra'!$K18</f>
        <v>1729.04</v>
      </c>
      <c r="Q20" s="110">
        <f>'Licitante - Mão de Obra'!$K18</f>
        <v>1729.04</v>
      </c>
      <c r="R20" s="110">
        <f>'Licitante - Mão de Obra'!K18</f>
        <v>1729.04</v>
      </c>
      <c r="S20" s="110">
        <f>'Licitante - Mão de Obra'!K18</f>
        <v>1729.04</v>
      </c>
      <c r="T20" s="110">
        <f>'Licitante - Mão de Obra'!K18</f>
        <v>1729.04</v>
      </c>
      <c r="U20" s="110">
        <f>'Licitante - Mão de Obra'!X13</f>
        <v>0</v>
      </c>
      <c r="V20" s="110">
        <f>'Licitante - Mão de Obra'!Y13</f>
        <v>0</v>
      </c>
    </row>
    <row r="21" spans="1:22" ht="20" customHeight="1">
      <c r="A21" s="14" t="s">
        <v>30</v>
      </c>
      <c r="B21" s="615" t="s">
        <v>21</v>
      </c>
      <c r="C21" s="615"/>
      <c r="D21" s="615"/>
      <c r="E21" s="615"/>
      <c r="F21" s="615"/>
      <c r="G21" s="615"/>
      <c r="H21" s="615"/>
      <c r="I21" s="615"/>
      <c r="J21" s="469"/>
      <c r="K21" s="111">
        <f>'Licitante - Mão de Obra'!K15</f>
        <v>1518</v>
      </c>
      <c r="L21" s="111">
        <f>'Licitante - Mão de Obra'!K15</f>
        <v>1518</v>
      </c>
      <c r="M21" s="111">
        <f>'Licitante - Mão de Obra'!K15</f>
        <v>1518</v>
      </c>
      <c r="N21" s="111">
        <f>'Licitante - Mão de Obra'!$K15</f>
        <v>1518</v>
      </c>
      <c r="O21" s="111">
        <f>'Licitante - Mão de Obra'!$K15</f>
        <v>1518</v>
      </c>
      <c r="P21" s="111">
        <f>'Licitante - Mão de Obra'!$K15</f>
        <v>1518</v>
      </c>
      <c r="Q21" s="111">
        <f>'Licitante - Mão de Obra'!$K15</f>
        <v>1518</v>
      </c>
      <c r="R21" s="111">
        <f>'Licitante - Mão de Obra'!K15</f>
        <v>1518</v>
      </c>
      <c r="S21" s="111">
        <f>'Licitante - Mão de Obra'!K15</f>
        <v>1518</v>
      </c>
      <c r="T21" s="111">
        <f>'Licitante - Mão de Obra'!K15</f>
        <v>1518</v>
      </c>
      <c r="U21" s="111">
        <f>'Licitante - Mão de Obra'!K15</f>
        <v>1518</v>
      </c>
      <c r="V21" s="111">
        <f>'Licitante - Mão de Obra'!K15</f>
        <v>1518</v>
      </c>
    </row>
    <row r="22" spans="1:22" ht="20" customHeight="1">
      <c r="A22" s="14" t="s">
        <v>49</v>
      </c>
      <c r="B22" s="615" t="s">
        <v>22</v>
      </c>
      <c r="C22" s="615"/>
      <c r="D22" s="615"/>
      <c r="E22" s="615"/>
      <c r="F22" s="615"/>
      <c r="G22" s="615"/>
      <c r="H22" s="615"/>
      <c r="I22" s="615"/>
      <c r="J22" s="469"/>
      <c r="K22" s="18" t="s">
        <v>23</v>
      </c>
      <c r="L22" s="18" t="s">
        <v>23</v>
      </c>
      <c r="M22" s="18" t="s">
        <v>23</v>
      </c>
      <c r="N22" s="18" t="s">
        <v>23</v>
      </c>
      <c r="O22" s="18" t="s">
        <v>23</v>
      </c>
      <c r="P22" s="18" t="s">
        <v>23</v>
      </c>
      <c r="Q22" s="18" t="s">
        <v>23</v>
      </c>
      <c r="R22" s="18" t="s">
        <v>23</v>
      </c>
      <c r="S22" s="18" t="s">
        <v>23</v>
      </c>
      <c r="T22" s="18" t="s">
        <v>23</v>
      </c>
      <c r="U22" s="18" t="s">
        <v>23</v>
      </c>
      <c r="V22" s="18" t="s">
        <v>23</v>
      </c>
    </row>
    <row r="23" spans="1:22" ht="20" customHeight="1" thickBot="1">
      <c r="A23" s="15" t="s">
        <v>51</v>
      </c>
      <c r="B23" s="784" t="s">
        <v>24</v>
      </c>
      <c r="C23" s="784"/>
      <c r="D23" s="784"/>
      <c r="E23" s="784"/>
      <c r="F23" s="784"/>
      <c r="G23" s="784"/>
      <c r="H23" s="784"/>
      <c r="I23" s="784"/>
      <c r="J23" s="567"/>
      <c r="K23" s="112" t="str">
        <f>'Licitante - Mão de Obra'!K14</f>
        <v>1 de janeiro</v>
      </c>
      <c r="L23" s="293" t="str">
        <f>'Licitante - Mão de Obra'!K14</f>
        <v>1 de janeiro</v>
      </c>
      <c r="M23" s="293" t="s">
        <v>376</v>
      </c>
      <c r="N23" s="350" t="str">
        <f>'Licitante - Mão de Obra'!K14</f>
        <v>1 de janeiro</v>
      </c>
      <c r="O23" s="350" t="str">
        <f>'Licitante - Mão de Obra'!K14</f>
        <v>1 de janeiro</v>
      </c>
      <c r="P23" s="350" t="str">
        <f>'Licitante - Mão de Obra'!K14</f>
        <v>1 de janeiro</v>
      </c>
      <c r="Q23" s="350" t="str">
        <f>'Licitante - Mão de Obra'!K14</f>
        <v>1 de janeiro</v>
      </c>
      <c r="R23" s="293" t="str">
        <f>'Licitante - Mão de Obra'!K14</f>
        <v>1 de janeiro</v>
      </c>
      <c r="S23" s="293" t="str">
        <f>'Licitante - Mão de Obra'!K14</f>
        <v>1 de janeiro</v>
      </c>
      <c r="T23" s="293" t="str">
        <f>'Licitante - Mão de Obra'!K14</f>
        <v>1 de janeiro</v>
      </c>
      <c r="U23" s="293" t="str">
        <f>'Licitante - Mão de Obra'!K14</f>
        <v>1 de janeiro</v>
      </c>
      <c r="V23" s="293" t="str">
        <f>'Licitante - Mão de Obra'!K14</f>
        <v>1 de janeiro</v>
      </c>
    </row>
    <row r="24" spans="1:22" ht="15" thickBot="1">
      <c r="A24" s="6"/>
      <c r="B24" s="4"/>
      <c r="C24" s="4"/>
      <c r="D24" s="4"/>
      <c r="E24" s="4"/>
      <c r="F24" s="4"/>
      <c r="G24" s="4"/>
      <c r="H24" s="4"/>
      <c r="I24" s="5"/>
      <c r="J24" s="4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2" ht="20" customHeight="1" thickBot="1">
      <c r="A25" s="456" t="s">
        <v>25</v>
      </c>
      <c r="B25" s="483"/>
      <c r="C25" s="483"/>
      <c r="D25" s="483"/>
      <c r="E25" s="483"/>
      <c r="F25" s="483"/>
      <c r="G25" s="483"/>
      <c r="H25" s="483"/>
      <c r="I25" s="483"/>
      <c r="J25" s="484"/>
      <c r="K25" s="35" t="s">
        <v>26</v>
      </c>
      <c r="L25" s="35" t="s">
        <v>26</v>
      </c>
      <c r="M25" s="35" t="s">
        <v>26</v>
      </c>
      <c r="N25" s="35" t="s">
        <v>26</v>
      </c>
      <c r="O25" s="35" t="s">
        <v>26</v>
      </c>
      <c r="P25" s="35" t="s">
        <v>26</v>
      </c>
      <c r="Q25" s="35" t="s">
        <v>26</v>
      </c>
      <c r="R25" s="35" t="s">
        <v>26</v>
      </c>
      <c r="S25" s="35" t="s">
        <v>26</v>
      </c>
      <c r="T25" s="35" t="s">
        <v>26</v>
      </c>
      <c r="U25" s="35" t="s">
        <v>26</v>
      </c>
      <c r="V25" s="35" t="s">
        <v>26</v>
      </c>
    </row>
    <row r="26" spans="1:22" ht="20" customHeight="1">
      <c r="A26" s="16" t="s">
        <v>27</v>
      </c>
      <c r="B26" s="609" t="s">
        <v>184</v>
      </c>
      <c r="C26" s="609"/>
      <c r="D26" s="609"/>
      <c r="E26" s="609"/>
      <c r="F26" s="609"/>
      <c r="G26" s="609"/>
      <c r="H26" s="609"/>
      <c r="I26" s="609"/>
      <c r="J26" s="610"/>
      <c r="K26" s="52">
        <f t="shared" ref="K26:T26" si="0">K20</f>
        <v>1729.04</v>
      </c>
      <c r="L26" s="52">
        <f t="shared" si="0"/>
        <v>1729.04</v>
      </c>
      <c r="M26" s="52">
        <f t="shared" si="0"/>
        <v>1729.04</v>
      </c>
      <c r="N26" s="52">
        <f t="shared" si="0"/>
        <v>1729.04</v>
      </c>
      <c r="O26" s="52">
        <f t="shared" si="0"/>
        <v>1729.04</v>
      </c>
      <c r="P26" s="52">
        <f t="shared" si="0"/>
        <v>1729.04</v>
      </c>
      <c r="Q26" s="52">
        <f t="shared" si="0"/>
        <v>1729.04</v>
      </c>
      <c r="R26" s="52">
        <f t="shared" si="0"/>
        <v>1729.04</v>
      </c>
      <c r="S26" s="52">
        <f t="shared" si="0"/>
        <v>1729.04</v>
      </c>
      <c r="T26" s="52">
        <f t="shared" si="0"/>
        <v>1729.04</v>
      </c>
      <c r="U26" s="52">
        <f>'Licitante - Mão de Obra'!K18</f>
        <v>1729.04</v>
      </c>
      <c r="V26" s="52">
        <f>'Licitante - Mão de Obra'!K18</f>
        <v>1729.04</v>
      </c>
    </row>
    <row r="27" spans="1:22" ht="20" customHeight="1">
      <c r="A27" s="14" t="s">
        <v>37</v>
      </c>
      <c r="B27" s="811" t="s">
        <v>29</v>
      </c>
      <c r="C27" s="811"/>
      <c r="D27" s="811"/>
      <c r="E27" s="811"/>
      <c r="F27" s="811"/>
      <c r="G27" s="811"/>
      <c r="H27" s="811"/>
      <c r="I27" s="811"/>
      <c r="J27" s="812"/>
      <c r="K27" s="90">
        <f>'Licitante - Mão de Obra'!K19</f>
        <v>0</v>
      </c>
      <c r="L27" s="90">
        <f>'Licitante - Mão de Obra'!L19</f>
        <v>0</v>
      </c>
      <c r="M27" s="90">
        <f>'Licitante - Mão de Obra'!M19</f>
        <v>0</v>
      </c>
      <c r="N27" s="90">
        <f>'Licitante - Mão de Obra'!N19</f>
        <v>0</v>
      </c>
      <c r="O27" s="90">
        <f>'Licitante - Mão de Obra'!O19</f>
        <v>0</v>
      </c>
      <c r="P27" s="90">
        <f>'Licitante - Mão de Obra'!P19</f>
        <v>0</v>
      </c>
      <c r="Q27" s="90">
        <f>'Licitante - Mão de Obra'!Q19</f>
        <v>0</v>
      </c>
      <c r="R27" s="90">
        <f>'Licitante - Mão de Obra'!O19</f>
        <v>0</v>
      </c>
      <c r="S27" s="90">
        <f>'Licitante - Mão de Obra'!P19</f>
        <v>0</v>
      </c>
      <c r="T27" s="90">
        <f>'Licitante - Mão de Obra'!W19</f>
        <v>0</v>
      </c>
      <c r="U27" s="90">
        <f>'Licitante - Mão de Obra'!X19</f>
        <v>0</v>
      </c>
      <c r="V27" s="90">
        <f>'Licitante - Mão de Obra'!Y19</f>
        <v>0</v>
      </c>
    </row>
    <row r="28" spans="1:22" ht="20" customHeight="1" thickBot="1">
      <c r="A28" s="22" t="s">
        <v>44</v>
      </c>
      <c r="B28" s="778" t="str">
        <f>'Licitante - Mão de Obra'!B20</f>
        <v>Outros (especificar)</v>
      </c>
      <c r="C28" s="778"/>
      <c r="D28" s="778"/>
      <c r="E28" s="778"/>
      <c r="F28" s="778"/>
      <c r="G28" s="778"/>
      <c r="H28" s="778"/>
      <c r="I28" s="778"/>
      <c r="J28" s="779"/>
      <c r="K28" s="91">
        <f>'Licitante - Mão de Obra'!K20</f>
        <v>0</v>
      </c>
      <c r="L28" s="91">
        <f>'Licitante - Mão de Obra'!L20</f>
        <v>0</v>
      </c>
      <c r="M28" s="91">
        <f>'Licitante - Mão de Obra'!M20</f>
        <v>0</v>
      </c>
      <c r="N28" s="91">
        <f>'Licitante - Mão de Obra'!N20</f>
        <v>0</v>
      </c>
      <c r="O28" s="91">
        <f>'Licitante - Mão de Obra'!O20</f>
        <v>0</v>
      </c>
      <c r="P28" s="91">
        <f>'Licitante - Mão de Obra'!P20</f>
        <v>0</v>
      </c>
      <c r="Q28" s="91">
        <f>'Licitante - Mão de Obra'!Q20</f>
        <v>0</v>
      </c>
      <c r="R28" s="91">
        <f>'Licitante - Mão de Obra'!O20</f>
        <v>0</v>
      </c>
      <c r="S28" s="91">
        <f>'Licitante - Mão de Obra'!P20</f>
        <v>0</v>
      </c>
      <c r="T28" s="91">
        <f>'Licitante - Mão de Obra'!W20</f>
        <v>0</v>
      </c>
      <c r="U28" s="91">
        <f>'Licitante - Mão de Obra'!X20</f>
        <v>0</v>
      </c>
      <c r="V28" s="91">
        <f>'Licitante - Mão de Obra'!Y20</f>
        <v>0</v>
      </c>
    </row>
    <row r="29" spans="1:22" ht="20" customHeight="1" thickBot="1">
      <c r="A29" s="618" t="s">
        <v>32</v>
      </c>
      <c r="B29" s="619"/>
      <c r="C29" s="619"/>
      <c r="D29" s="619"/>
      <c r="E29" s="619"/>
      <c r="F29" s="619"/>
      <c r="G29" s="619"/>
      <c r="H29" s="619"/>
      <c r="I29" s="619"/>
      <c r="J29" s="620"/>
      <c r="K29" s="54">
        <f t="shared" ref="K29:V29" si="1">SUM(K26:K28)</f>
        <v>1729.04</v>
      </c>
      <c r="L29" s="54">
        <f t="shared" si="1"/>
        <v>1729.04</v>
      </c>
      <c r="M29" s="54">
        <f t="shared" si="1"/>
        <v>1729.04</v>
      </c>
      <c r="N29" s="54">
        <f t="shared" si="1"/>
        <v>1729.04</v>
      </c>
      <c r="O29" s="54">
        <f t="shared" si="1"/>
        <v>1729.04</v>
      </c>
      <c r="P29" s="54">
        <f t="shared" si="1"/>
        <v>1729.04</v>
      </c>
      <c r="Q29" s="54">
        <f t="shared" si="1"/>
        <v>1729.04</v>
      </c>
      <c r="R29" s="54">
        <f t="shared" si="1"/>
        <v>1729.04</v>
      </c>
      <c r="S29" s="54">
        <f t="shared" si="1"/>
        <v>1729.04</v>
      </c>
      <c r="T29" s="54">
        <f t="shared" si="1"/>
        <v>1729.04</v>
      </c>
      <c r="U29" s="54">
        <f t="shared" si="1"/>
        <v>1729.04</v>
      </c>
      <c r="V29" s="54">
        <f t="shared" si="1"/>
        <v>1729.04</v>
      </c>
    </row>
    <row r="30" spans="1:22" ht="15" thickBot="1">
      <c r="A30" s="4"/>
      <c r="B30" s="4"/>
      <c r="C30" s="4"/>
      <c r="D30" s="4"/>
      <c r="E30" s="4"/>
      <c r="F30" s="4"/>
      <c r="G30" s="4"/>
      <c r="H30" s="4"/>
      <c r="I30" s="4"/>
      <c r="J30" s="4"/>
      <c r="K30" s="8"/>
    </row>
    <row r="31" spans="1:22" ht="20" customHeight="1" thickBot="1">
      <c r="A31" s="456" t="s">
        <v>33</v>
      </c>
      <c r="B31" s="483"/>
      <c r="C31" s="483"/>
      <c r="D31" s="483"/>
      <c r="E31" s="483"/>
      <c r="F31" s="483"/>
      <c r="G31" s="483"/>
      <c r="H31" s="483"/>
      <c r="I31" s="483"/>
      <c r="J31" s="483"/>
      <c r="K31" s="457"/>
    </row>
    <row r="32" spans="1:22" ht="20" customHeight="1">
      <c r="A32" s="803" t="s">
        <v>34</v>
      </c>
      <c r="B32" s="804"/>
      <c r="C32" s="804"/>
      <c r="D32" s="804"/>
      <c r="E32" s="804"/>
      <c r="F32" s="804"/>
      <c r="G32" s="804"/>
      <c r="H32" s="804"/>
      <c r="I32" s="805"/>
      <c r="J32" s="36" t="s">
        <v>35</v>
      </c>
      <c r="K32" s="36" t="s">
        <v>26</v>
      </c>
      <c r="L32" s="36" t="s">
        <v>26</v>
      </c>
      <c r="M32" s="36" t="s">
        <v>26</v>
      </c>
      <c r="N32" s="36" t="s">
        <v>26</v>
      </c>
      <c r="O32" s="36" t="s">
        <v>26</v>
      </c>
      <c r="P32" s="36" t="s">
        <v>26</v>
      </c>
      <c r="Q32" s="36" t="s">
        <v>26</v>
      </c>
      <c r="R32" s="36" t="s">
        <v>26</v>
      </c>
      <c r="S32" s="36" t="s">
        <v>26</v>
      </c>
      <c r="T32" s="36" t="s">
        <v>26</v>
      </c>
      <c r="U32" s="36" t="s">
        <v>26</v>
      </c>
      <c r="V32" s="36" t="s">
        <v>26</v>
      </c>
    </row>
    <row r="33" spans="1:22" ht="20" customHeight="1">
      <c r="A33" s="14" t="s">
        <v>27</v>
      </c>
      <c r="B33" s="664" t="s">
        <v>36</v>
      </c>
      <c r="C33" s="664"/>
      <c r="D33" s="664"/>
      <c r="E33" s="664"/>
      <c r="F33" s="664"/>
      <c r="G33" s="664"/>
      <c r="H33" s="664"/>
      <c r="I33" s="665"/>
      <c r="J33" s="23">
        <f>1/12</f>
        <v>8.3333333333333329E-2</v>
      </c>
      <c r="K33" s="55">
        <f>$J$33*K29</f>
        <v>144.08666666666664</v>
      </c>
      <c r="L33" s="55">
        <f>$J$33*L29</f>
        <v>144.08666666666664</v>
      </c>
      <c r="M33" s="55">
        <f t="shared" ref="M33:V33" si="2">$J$33*M29</f>
        <v>144.08666666666664</v>
      </c>
      <c r="N33" s="55">
        <f t="shared" si="2"/>
        <v>144.08666666666664</v>
      </c>
      <c r="O33" s="55">
        <f t="shared" si="2"/>
        <v>144.08666666666664</v>
      </c>
      <c r="P33" s="55">
        <f t="shared" si="2"/>
        <v>144.08666666666664</v>
      </c>
      <c r="Q33" s="55">
        <f t="shared" si="2"/>
        <v>144.08666666666664</v>
      </c>
      <c r="R33" s="55">
        <f t="shared" si="2"/>
        <v>144.08666666666664</v>
      </c>
      <c r="S33" s="55">
        <f t="shared" si="2"/>
        <v>144.08666666666664</v>
      </c>
      <c r="T33" s="55">
        <f t="shared" si="2"/>
        <v>144.08666666666664</v>
      </c>
      <c r="U33" s="55">
        <f t="shared" si="2"/>
        <v>144.08666666666664</v>
      </c>
      <c r="V33" s="55">
        <f t="shared" si="2"/>
        <v>144.08666666666664</v>
      </c>
    </row>
    <row r="34" spans="1:22" ht="20" customHeight="1" thickBot="1">
      <c r="A34" s="22" t="s">
        <v>37</v>
      </c>
      <c r="B34" s="694" t="s">
        <v>38</v>
      </c>
      <c r="C34" s="808"/>
      <c r="D34" s="808"/>
      <c r="E34" s="808"/>
      <c r="F34" s="808"/>
      <c r="G34" s="808"/>
      <c r="H34" s="808"/>
      <c r="I34" s="808"/>
      <c r="J34" s="37">
        <v>3.0249999999999999E-2</v>
      </c>
      <c r="K34" s="56">
        <f>$J$34*K29</f>
        <v>52.303459999999994</v>
      </c>
      <c r="L34" s="56">
        <f t="shared" ref="L34:V34" si="3">$J$34*L29</f>
        <v>52.303459999999994</v>
      </c>
      <c r="M34" s="56">
        <f t="shared" si="3"/>
        <v>52.303459999999994</v>
      </c>
      <c r="N34" s="56">
        <f t="shared" si="3"/>
        <v>52.303459999999994</v>
      </c>
      <c r="O34" s="56">
        <f t="shared" si="3"/>
        <v>52.303459999999994</v>
      </c>
      <c r="P34" s="56">
        <f t="shared" si="3"/>
        <v>52.303459999999994</v>
      </c>
      <c r="Q34" s="56">
        <f t="shared" si="3"/>
        <v>52.303459999999994</v>
      </c>
      <c r="R34" s="56">
        <f t="shared" si="3"/>
        <v>52.303459999999994</v>
      </c>
      <c r="S34" s="56">
        <f t="shared" si="3"/>
        <v>52.303459999999994</v>
      </c>
      <c r="T34" s="56">
        <f t="shared" si="3"/>
        <v>52.303459999999994</v>
      </c>
      <c r="U34" s="56">
        <f t="shared" si="3"/>
        <v>52.303459999999994</v>
      </c>
      <c r="V34" s="56">
        <f t="shared" si="3"/>
        <v>52.303459999999994</v>
      </c>
    </row>
    <row r="35" spans="1:22" ht="20" customHeight="1" thickBot="1">
      <c r="A35" s="676" t="s">
        <v>39</v>
      </c>
      <c r="B35" s="677"/>
      <c r="C35" s="677"/>
      <c r="D35" s="677"/>
      <c r="E35" s="677"/>
      <c r="F35" s="677"/>
      <c r="G35" s="677"/>
      <c r="H35" s="677"/>
      <c r="I35" s="678"/>
      <c r="J35" s="38">
        <f t="shared" ref="J35:V35" si="4">+J33+J34</f>
        <v>0.11358333333333333</v>
      </c>
      <c r="K35" s="57">
        <f t="shared" si="4"/>
        <v>196.39012666666665</v>
      </c>
      <c r="L35" s="57">
        <f t="shared" si="4"/>
        <v>196.39012666666665</v>
      </c>
      <c r="M35" s="57">
        <f t="shared" si="4"/>
        <v>196.39012666666665</v>
      </c>
      <c r="N35" s="57">
        <f t="shared" si="4"/>
        <v>196.39012666666665</v>
      </c>
      <c r="O35" s="57">
        <f t="shared" si="4"/>
        <v>196.39012666666665</v>
      </c>
      <c r="P35" s="57">
        <f t="shared" si="4"/>
        <v>196.39012666666665</v>
      </c>
      <c r="Q35" s="57">
        <f t="shared" si="4"/>
        <v>196.39012666666665</v>
      </c>
      <c r="R35" s="57">
        <f t="shared" si="4"/>
        <v>196.39012666666665</v>
      </c>
      <c r="S35" s="57">
        <f t="shared" si="4"/>
        <v>196.39012666666665</v>
      </c>
      <c r="T35" s="57">
        <f t="shared" si="4"/>
        <v>196.39012666666665</v>
      </c>
      <c r="U35" s="57">
        <f t="shared" si="4"/>
        <v>196.39012666666665</v>
      </c>
      <c r="V35" s="57">
        <f t="shared" si="4"/>
        <v>196.39012666666665</v>
      </c>
    </row>
    <row r="36" spans="1:22" ht="50" customHeight="1" thickBot="1">
      <c r="A36" s="761" t="s">
        <v>155</v>
      </c>
      <c r="B36" s="762"/>
      <c r="C36" s="762"/>
      <c r="D36" s="762"/>
      <c r="E36" s="762"/>
      <c r="F36" s="762"/>
      <c r="G36" s="762"/>
      <c r="H36" s="762"/>
      <c r="I36" s="762"/>
      <c r="J36" s="762"/>
      <c r="K36" s="763"/>
    </row>
    <row r="37" spans="1:22" ht="20" customHeight="1" thickBot="1">
      <c r="A37" s="764" t="s">
        <v>40</v>
      </c>
      <c r="B37" s="765"/>
      <c r="C37" s="765"/>
      <c r="D37" s="765"/>
      <c r="E37" s="765"/>
      <c r="F37" s="765"/>
      <c r="G37" s="765"/>
      <c r="H37" s="765"/>
      <c r="I37" s="766"/>
      <c r="J37" s="235" t="s">
        <v>324</v>
      </c>
      <c r="K37" s="296">
        <f>(K29+K35)</f>
        <v>1925.4301266666666</v>
      </c>
      <c r="L37" s="296">
        <f t="shared" ref="L37:V37" si="5">(L29+L35)</f>
        <v>1925.4301266666666</v>
      </c>
      <c r="M37" s="296">
        <f t="shared" si="5"/>
        <v>1925.4301266666666</v>
      </c>
      <c r="N37" s="296">
        <f t="shared" si="5"/>
        <v>1925.4301266666666</v>
      </c>
      <c r="O37" s="296">
        <f t="shared" si="5"/>
        <v>1925.4301266666666</v>
      </c>
      <c r="P37" s="296">
        <f t="shared" si="5"/>
        <v>1925.4301266666666</v>
      </c>
      <c r="Q37" s="296">
        <f t="shared" si="5"/>
        <v>1925.4301266666666</v>
      </c>
      <c r="R37" s="296">
        <f t="shared" si="5"/>
        <v>1925.4301266666666</v>
      </c>
      <c r="S37" s="296">
        <f t="shared" si="5"/>
        <v>1925.4301266666666</v>
      </c>
      <c r="T37" s="296">
        <f t="shared" si="5"/>
        <v>1925.4301266666666</v>
      </c>
      <c r="U37" s="296">
        <f t="shared" si="5"/>
        <v>1925.4301266666666</v>
      </c>
      <c r="V37" s="296">
        <f t="shared" si="5"/>
        <v>1925.4301266666666</v>
      </c>
    </row>
    <row r="38" spans="1:22" ht="20" customHeight="1" thickBot="1">
      <c r="A38" s="773" t="s">
        <v>41</v>
      </c>
      <c r="B38" s="774"/>
      <c r="C38" s="774"/>
      <c r="D38" s="774"/>
      <c r="E38" s="774"/>
      <c r="F38" s="774"/>
      <c r="G38" s="775"/>
      <c r="H38" s="775"/>
      <c r="I38" s="542"/>
      <c r="J38" s="236" t="s">
        <v>35</v>
      </c>
      <c r="K38" s="297" t="s">
        <v>26</v>
      </c>
      <c r="L38" s="297" t="s">
        <v>26</v>
      </c>
      <c r="M38" s="297" t="s">
        <v>26</v>
      </c>
      <c r="N38" s="297" t="s">
        <v>26</v>
      </c>
      <c r="O38" s="297" t="s">
        <v>26</v>
      </c>
      <c r="P38" s="297" t="s">
        <v>26</v>
      </c>
      <c r="Q38" s="297" t="s">
        <v>26</v>
      </c>
      <c r="R38" s="297" t="s">
        <v>26</v>
      </c>
      <c r="S38" s="297" t="s">
        <v>26</v>
      </c>
      <c r="T38" s="297" t="s">
        <v>26</v>
      </c>
      <c r="U38" s="297" t="s">
        <v>26</v>
      </c>
      <c r="V38" s="297" t="s">
        <v>26</v>
      </c>
    </row>
    <row r="39" spans="1:22" ht="18.75" customHeight="1">
      <c r="A39" s="16" t="s">
        <v>27</v>
      </c>
      <c r="B39" s="610" t="s">
        <v>42</v>
      </c>
      <c r="C39" s="679"/>
      <c r="D39" s="679"/>
      <c r="E39" s="679"/>
      <c r="F39" s="679"/>
      <c r="G39" s="679"/>
      <c r="H39" s="679"/>
      <c r="I39" s="679"/>
      <c r="J39" s="23">
        <v>0.2</v>
      </c>
      <c r="K39" s="55">
        <f>$J$39*K37</f>
        <v>385.08602533333334</v>
      </c>
      <c r="L39" s="55">
        <f t="shared" ref="L39:V39" si="6">$J$39*L37</f>
        <v>385.08602533333334</v>
      </c>
      <c r="M39" s="55">
        <f t="shared" si="6"/>
        <v>385.08602533333334</v>
      </c>
      <c r="N39" s="55">
        <f t="shared" si="6"/>
        <v>385.08602533333334</v>
      </c>
      <c r="O39" s="55">
        <f t="shared" si="6"/>
        <v>385.08602533333334</v>
      </c>
      <c r="P39" s="55">
        <f t="shared" si="6"/>
        <v>385.08602533333334</v>
      </c>
      <c r="Q39" s="55">
        <f t="shared" si="6"/>
        <v>385.08602533333334</v>
      </c>
      <c r="R39" s="55">
        <f t="shared" si="6"/>
        <v>385.08602533333334</v>
      </c>
      <c r="S39" s="55">
        <f t="shared" si="6"/>
        <v>385.08602533333334</v>
      </c>
      <c r="T39" s="55">
        <f t="shared" si="6"/>
        <v>385.08602533333334</v>
      </c>
      <c r="U39" s="55">
        <f t="shared" si="6"/>
        <v>385.08602533333334</v>
      </c>
      <c r="V39" s="55">
        <f t="shared" si="6"/>
        <v>385.08602533333334</v>
      </c>
    </row>
    <row r="40" spans="1:22" ht="18.75" customHeight="1">
      <c r="A40" s="14" t="s">
        <v>37</v>
      </c>
      <c r="B40" s="469" t="s">
        <v>43</v>
      </c>
      <c r="C40" s="470"/>
      <c r="D40" s="470"/>
      <c r="E40" s="470"/>
      <c r="F40" s="470"/>
      <c r="G40" s="470"/>
      <c r="H40" s="470"/>
      <c r="I40" s="470"/>
      <c r="J40" s="24">
        <v>2.5000000000000001E-2</v>
      </c>
      <c r="K40" s="55">
        <f>$J$40*K37</f>
        <v>48.135753166666667</v>
      </c>
      <c r="L40" s="55">
        <f t="shared" ref="L40:V40" si="7">$J$40*L37</f>
        <v>48.135753166666667</v>
      </c>
      <c r="M40" s="55">
        <f t="shared" si="7"/>
        <v>48.135753166666667</v>
      </c>
      <c r="N40" s="55">
        <f t="shared" si="7"/>
        <v>48.135753166666667</v>
      </c>
      <c r="O40" s="55">
        <f t="shared" si="7"/>
        <v>48.135753166666667</v>
      </c>
      <c r="P40" s="55">
        <f t="shared" si="7"/>
        <v>48.135753166666667</v>
      </c>
      <c r="Q40" s="55">
        <f t="shared" si="7"/>
        <v>48.135753166666667</v>
      </c>
      <c r="R40" s="55">
        <f t="shared" si="7"/>
        <v>48.135753166666667</v>
      </c>
      <c r="S40" s="55">
        <f t="shared" si="7"/>
        <v>48.135753166666667</v>
      </c>
      <c r="T40" s="55">
        <f t="shared" si="7"/>
        <v>48.135753166666667</v>
      </c>
      <c r="U40" s="55">
        <f t="shared" si="7"/>
        <v>48.135753166666667</v>
      </c>
      <c r="V40" s="55">
        <f t="shared" si="7"/>
        <v>48.135753166666667</v>
      </c>
    </row>
    <row r="41" spans="1:22" ht="18.75" customHeight="1">
      <c r="A41" s="14" t="s">
        <v>44</v>
      </c>
      <c r="B41" s="487" t="s">
        <v>45</v>
      </c>
      <c r="C41" s="487"/>
      <c r="D41" s="20" t="s">
        <v>46</v>
      </c>
      <c r="E41" s="85">
        <f>'Licitante - Mão de Obra'!E24</f>
        <v>0.01</v>
      </c>
      <c r="F41" s="20" t="s">
        <v>47</v>
      </c>
      <c r="G41" s="86">
        <f>'Licitante - Mão de Obra'!G24</f>
        <v>2</v>
      </c>
      <c r="H41" s="771"/>
      <c r="I41" s="772"/>
      <c r="J41" s="24">
        <f>E41*G41</f>
        <v>0.02</v>
      </c>
      <c r="K41" s="55">
        <f>$J$41*K37</f>
        <v>38.508602533333331</v>
      </c>
      <c r="L41" s="55">
        <f t="shared" ref="L41:V41" si="8">$J$41*L37</f>
        <v>38.508602533333331</v>
      </c>
      <c r="M41" s="55">
        <f t="shared" si="8"/>
        <v>38.508602533333331</v>
      </c>
      <c r="N41" s="55">
        <f t="shared" si="8"/>
        <v>38.508602533333331</v>
      </c>
      <c r="O41" s="55">
        <f t="shared" si="8"/>
        <v>38.508602533333331</v>
      </c>
      <c r="P41" s="55">
        <f t="shared" si="8"/>
        <v>38.508602533333331</v>
      </c>
      <c r="Q41" s="55">
        <f t="shared" si="8"/>
        <v>38.508602533333331</v>
      </c>
      <c r="R41" s="55">
        <f t="shared" si="8"/>
        <v>38.508602533333331</v>
      </c>
      <c r="S41" s="55">
        <f t="shared" si="8"/>
        <v>38.508602533333331</v>
      </c>
      <c r="T41" s="55">
        <f t="shared" si="8"/>
        <v>38.508602533333331</v>
      </c>
      <c r="U41" s="55">
        <f t="shared" si="8"/>
        <v>38.508602533333331</v>
      </c>
      <c r="V41" s="55">
        <f t="shared" si="8"/>
        <v>38.508602533333331</v>
      </c>
    </row>
    <row r="42" spans="1:22" ht="17.149999999999999" customHeight="1">
      <c r="A42" s="14" t="s">
        <v>30</v>
      </c>
      <c r="B42" s="469" t="s">
        <v>48</v>
      </c>
      <c r="C42" s="470"/>
      <c r="D42" s="470"/>
      <c r="E42" s="470"/>
      <c r="F42" s="470"/>
      <c r="G42" s="470"/>
      <c r="H42" s="470"/>
      <c r="I42" s="470"/>
      <c r="J42" s="24">
        <v>1.4999999999999999E-2</v>
      </c>
      <c r="K42" s="55">
        <f>$J$42*K37</f>
        <v>28.881451899999998</v>
      </c>
      <c r="L42" s="55">
        <f t="shared" ref="L42:V42" si="9">$J$42*L37</f>
        <v>28.881451899999998</v>
      </c>
      <c r="M42" s="55">
        <f t="shared" si="9"/>
        <v>28.881451899999998</v>
      </c>
      <c r="N42" s="55">
        <f t="shared" si="9"/>
        <v>28.881451899999998</v>
      </c>
      <c r="O42" s="55">
        <f t="shared" si="9"/>
        <v>28.881451899999998</v>
      </c>
      <c r="P42" s="55">
        <f t="shared" si="9"/>
        <v>28.881451899999998</v>
      </c>
      <c r="Q42" s="55">
        <f t="shared" si="9"/>
        <v>28.881451899999998</v>
      </c>
      <c r="R42" s="55">
        <f t="shared" si="9"/>
        <v>28.881451899999998</v>
      </c>
      <c r="S42" s="55">
        <f t="shared" si="9"/>
        <v>28.881451899999998</v>
      </c>
      <c r="T42" s="55">
        <f t="shared" si="9"/>
        <v>28.881451899999998</v>
      </c>
      <c r="U42" s="55">
        <f t="shared" si="9"/>
        <v>28.881451899999998</v>
      </c>
      <c r="V42" s="55">
        <f t="shared" si="9"/>
        <v>28.881451899999998</v>
      </c>
    </row>
    <row r="43" spans="1:22" ht="17.75" customHeight="1">
      <c r="A43" s="14" t="s">
        <v>49</v>
      </c>
      <c r="B43" s="469" t="s">
        <v>50</v>
      </c>
      <c r="C43" s="470"/>
      <c r="D43" s="470"/>
      <c r="E43" s="470"/>
      <c r="F43" s="470"/>
      <c r="G43" s="470"/>
      <c r="H43" s="470"/>
      <c r="I43" s="470"/>
      <c r="J43" s="24">
        <v>0.01</v>
      </c>
      <c r="K43" s="55">
        <f>$J$43*K37</f>
        <v>19.254301266666666</v>
      </c>
      <c r="L43" s="55">
        <f t="shared" ref="L43:V43" si="10">$J$43*L37</f>
        <v>19.254301266666666</v>
      </c>
      <c r="M43" s="55">
        <f t="shared" si="10"/>
        <v>19.254301266666666</v>
      </c>
      <c r="N43" s="55">
        <f t="shared" si="10"/>
        <v>19.254301266666666</v>
      </c>
      <c r="O43" s="55">
        <f t="shared" si="10"/>
        <v>19.254301266666666</v>
      </c>
      <c r="P43" s="55">
        <f t="shared" si="10"/>
        <v>19.254301266666666</v>
      </c>
      <c r="Q43" s="55">
        <f t="shared" si="10"/>
        <v>19.254301266666666</v>
      </c>
      <c r="R43" s="55">
        <f t="shared" si="10"/>
        <v>19.254301266666666</v>
      </c>
      <c r="S43" s="55">
        <f t="shared" si="10"/>
        <v>19.254301266666666</v>
      </c>
      <c r="T43" s="55">
        <f t="shared" si="10"/>
        <v>19.254301266666666</v>
      </c>
      <c r="U43" s="55">
        <f t="shared" si="10"/>
        <v>19.254301266666666</v>
      </c>
      <c r="V43" s="55">
        <f t="shared" si="10"/>
        <v>19.254301266666666</v>
      </c>
    </row>
    <row r="44" spans="1:22" ht="16.399999999999999" customHeight="1">
      <c r="A44" s="14" t="s">
        <v>51</v>
      </c>
      <c r="B44" s="469" t="s">
        <v>52</v>
      </c>
      <c r="C44" s="470"/>
      <c r="D44" s="470"/>
      <c r="E44" s="470"/>
      <c r="F44" s="470"/>
      <c r="G44" s="470"/>
      <c r="H44" s="470"/>
      <c r="I44" s="470"/>
      <c r="J44" s="24">
        <v>6.0000000000000001E-3</v>
      </c>
      <c r="K44" s="55">
        <f>$J$44*K37</f>
        <v>11.55258076</v>
      </c>
      <c r="L44" s="55">
        <f t="shared" ref="L44:V44" si="11">$J$44*L37</f>
        <v>11.55258076</v>
      </c>
      <c r="M44" s="55">
        <f t="shared" si="11"/>
        <v>11.55258076</v>
      </c>
      <c r="N44" s="55">
        <f t="shared" si="11"/>
        <v>11.55258076</v>
      </c>
      <c r="O44" s="55">
        <f t="shared" si="11"/>
        <v>11.55258076</v>
      </c>
      <c r="P44" s="55">
        <f t="shared" si="11"/>
        <v>11.55258076</v>
      </c>
      <c r="Q44" s="55">
        <f t="shared" si="11"/>
        <v>11.55258076</v>
      </c>
      <c r="R44" s="55">
        <f t="shared" si="11"/>
        <v>11.55258076</v>
      </c>
      <c r="S44" s="55">
        <f t="shared" si="11"/>
        <v>11.55258076</v>
      </c>
      <c r="T44" s="55">
        <f t="shared" si="11"/>
        <v>11.55258076</v>
      </c>
      <c r="U44" s="55">
        <f t="shared" si="11"/>
        <v>11.55258076</v>
      </c>
      <c r="V44" s="55">
        <f t="shared" si="11"/>
        <v>11.55258076</v>
      </c>
    </row>
    <row r="45" spans="1:22" ht="17.75" customHeight="1">
      <c r="A45" s="14" t="s">
        <v>53</v>
      </c>
      <c r="B45" s="469" t="s">
        <v>54</v>
      </c>
      <c r="C45" s="470"/>
      <c r="D45" s="470"/>
      <c r="E45" s="470"/>
      <c r="F45" s="470"/>
      <c r="G45" s="470"/>
      <c r="H45" s="470"/>
      <c r="I45" s="470"/>
      <c r="J45" s="24">
        <v>2E-3</v>
      </c>
      <c r="K45" s="55">
        <f>$J$45*K37</f>
        <v>3.8508602533333334</v>
      </c>
      <c r="L45" s="55">
        <f t="shared" ref="L45:V45" si="12">$J$45*L37</f>
        <v>3.8508602533333334</v>
      </c>
      <c r="M45" s="55">
        <f t="shared" si="12"/>
        <v>3.8508602533333334</v>
      </c>
      <c r="N45" s="55">
        <f t="shared" si="12"/>
        <v>3.8508602533333334</v>
      </c>
      <c r="O45" s="55">
        <f t="shared" si="12"/>
        <v>3.8508602533333334</v>
      </c>
      <c r="P45" s="55">
        <f t="shared" si="12"/>
        <v>3.8508602533333334</v>
      </c>
      <c r="Q45" s="55">
        <f t="shared" si="12"/>
        <v>3.8508602533333334</v>
      </c>
      <c r="R45" s="55">
        <f t="shared" si="12"/>
        <v>3.8508602533333334</v>
      </c>
      <c r="S45" s="55">
        <f t="shared" si="12"/>
        <v>3.8508602533333334</v>
      </c>
      <c r="T45" s="55">
        <f t="shared" si="12"/>
        <v>3.8508602533333334</v>
      </c>
      <c r="U45" s="55">
        <f t="shared" si="12"/>
        <v>3.8508602533333334</v>
      </c>
      <c r="V45" s="55">
        <f t="shared" si="12"/>
        <v>3.8508602533333334</v>
      </c>
    </row>
    <row r="46" spans="1:22" ht="18.75" customHeight="1" thickBot="1">
      <c r="A46" s="22" t="s">
        <v>55</v>
      </c>
      <c r="B46" s="769" t="s">
        <v>56</v>
      </c>
      <c r="C46" s="770"/>
      <c r="D46" s="770"/>
      <c r="E46" s="770"/>
      <c r="F46" s="770"/>
      <c r="G46" s="770"/>
      <c r="H46" s="770"/>
      <c r="I46" s="770"/>
      <c r="J46" s="39">
        <v>0.08</v>
      </c>
      <c r="K46" s="56">
        <f>$J$46*K37</f>
        <v>154.03441013333332</v>
      </c>
      <c r="L46" s="56">
        <f t="shared" ref="L46:V46" si="13">$J$46*L37</f>
        <v>154.03441013333332</v>
      </c>
      <c r="M46" s="56">
        <f t="shared" si="13"/>
        <v>154.03441013333332</v>
      </c>
      <c r="N46" s="56">
        <f t="shared" si="13"/>
        <v>154.03441013333332</v>
      </c>
      <c r="O46" s="56">
        <f t="shared" si="13"/>
        <v>154.03441013333332</v>
      </c>
      <c r="P46" s="56">
        <f t="shared" si="13"/>
        <v>154.03441013333332</v>
      </c>
      <c r="Q46" s="56">
        <f t="shared" si="13"/>
        <v>154.03441013333332</v>
      </c>
      <c r="R46" s="56">
        <f t="shared" si="13"/>
        <v>154.03441013333332</v>
      </c>
      <c r="S46" s="56">
        <f t="shared" si="13"/>
        <v>154.03441013333332</v>
      </c>
      <c r="T46" s="56">
        <f t="shared" si="13"/>
        <v>154.03441013333332</v>
      </c>
      <c r="U46" s="56">
        <f t="shared" si="13"/>
        <v>154.03441013333332</v>
      </c>
      <c r="V46" s="56">
        <f t="shared" si="13"/>
        <v>154.03441013333332</v>
      </c>
    </row>
    <row r="47" spans="1:22" ht="18.149999999999999" customHeight="1" thickBot="1">
      <c r="A47" s="741" t="s">
        <v>57</v>
      </c>
      <c r="B47" s="742"/>
      <c r="C47" s="742"/>
      <c r="D47" s="742"/>
      <c r="E47" s="742"/>
      <c r="F47" s="742"/>
      <c r="G47" s="742"/>
      <c r="H47" s="742"/>
      <c r="I47" s="743"/>
      <c r="J47" s="40">
        <f t="shared" ref="J47:V47" si="14">SUM(J39:J46)</f>
        <v>0.35800000000000004</v>
      </c>
      <c r="K47" s="58">
        <f t="shared" si="14"/>
        <v>689.30398534666665</v>
      </c>
      <c r="L47" s="58">
        <f t="shared" si="14"/>
        <v>689.30398534666665</v>
      </c>
      <c r="M47" s="58">
        <f t="shared" si="14"/>
        <v>689.30398534666665</v>
      </c>
      <c r="N47" s="58">
        <f t="shared" si="14"/>
        <v>689.30398534666665</v>
      </c>
      <c r="O47" s="58">
        <f t="shared" si="14"/>
        <v>689.30398534666665</v>
      </c>
      <c r="P47" s="58">
        <f t="shared" si="14"/>
        <v>689.30398534666665</v>
      </c>
      <c r="Q47" s="58">
        <f t="shared" si="14"/>
        <v>689.30398534666665</v>
      </c>
      <c r="R47" s="58">
        <f t="shared" si="14"/>
        <v>689.30398534666665</v>
      </c>
      <c r="S47" s="58">
        <f t="shared" si="14"/>
        <v>689.30398534666665</v>
      </c>
      <c r="T47" s="58">
        <f t="shared" si="14"/>
        <v>689.30398534666665</v>
      </c>
      <c r="U47" s="58">
        <f t="shared" si="14"/>
        <v>689.30398534666665</v>
      </c>
      <c r="V47" s="58">
        <f t="shared" si="14"/>
        <v>689.30398534666665</v>
      </c>
    </row>
    <row r="48" spans="1:22" s="21" customFormat="1" ht="50" customHeight="1" thickBot="1">
      <c r="A48" s="776" t="s">
        <v>154</v>
      </c>
      <c r="B48" s="777"/>
      <c r="C48" s="777"/>
      <c r="D48" s="777"/>
      <c r="E48" s="777"/>
      <c r="F48" s="777"/>
      <c r="G48" s="777"/>
      <c r="H48" s="777"/>
      <c r="I48" s="777"/>
      <c r="J48" s="777"/>
      <c r="K48" s="303" t="s">
        <v>359</v>
      </c>
      <c r="L48" s="303" t="s">
        <v>360</v>
      </c>
      <c r="M48" s="303" t="s">
        <v>361</v>
      </c>
      <c r="N48" s="303" t="s">
        <v>362</v>
      </c>
      <c r="O48" s="353" t="s">
        <v>370</v>
      </c>
      <c r="P48" s="303" t="s">
        <v>371</v>
      </c>
      <c r="Q48" s="303" t="s">
        <v>372</v>
      </c>
      <c r="R48" s="303" t="s">
        <v>365</v>
      </c>
      <c r="S48" s="303" t="s">
        <v>366</v>
      </c>
      <c r="T48" s="303" t="s">
        <v>367</v>
      </c>
      <c r="U48" s="303" t="s">
        <v>368</v>
      </c>
      <c r="V48" s="303" t="s">
        <v>369</v>
      </c>
    </row>
    <row r="49" spans="1:22" ht="20" customHeight="1" thickBot="1">
      <c r="A49" s="479" t="s">
        <v>58</v>
      </c>
      <c r="B49" s="480"/>
      <c r="C49" s="480"/>
      <c r="D49" s="480"/>
      <c r="E49" s="480"/>
      <c r="F49" s="480"/>
      <c r="G49" s="480"/>
      <c r="H49" s="480"/>
      <c r="I49" s="480"/>
      <c r="J49" s="521"/>
      <c r="K49" s="29" t="s">
        <v>26</v>
      </c>
      <c r="L49" s="29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29" t="s">
        <v>26</v>
      </c>
      <c r="T49" s="29" t="s">
        <v>26</v>
      </c>
      <c r="U49" s="29" t="s">
        <v>26</v>
      </c>
      <c r="V49" s="29" t="s">
        <v>26</v>
      </c>
    </row>
    <row r="50" spans="1:22" ht="20" customHeight="1">
      <c r="A50" s="25" t="s">
        <v>27</v>
      </c>
      <c r="B50" s="602" t="s">
        <v>225</v>
      </c>
      <c r="C50" s="602"/>
      <c r="D50" s="602"/>
      <c r="E50" s="602"/>
      <c r="F50" s="602"/>
      <c r="G50" s="602"/>
      <c r="H50" s="602"/>
      <c r="I50" s="602"/>
      <c r="J50" s="603"/>
      <c r="K50" s="154">
        <f>'Licitante - Mão de Obra'!K29</f>
        <v>367.5</v>
      </c>
      <c r="L50" s="231">
        <f>'Licitante - Mão de Obra'!K30</f>
        <v>367.5</v>
      </c>
      <c r="M50" s="231">
        <f>'Licitante - Mão de Obra'!K31</f>
        <v>367.5</v>
      </c>
      <c r="N50" s="231">
        <f>'Licitante - Mão de Obra'!K32</f>
        <v>367.5</v>
      </c>
      <c r="O50" s="331">
        <f>'Licitante - Mão de Obra'!K33</f>
        <v>367.5</v>
      </c>
      <c r="P50" s="331">
        <f>'Licitante - Mão de Obra'!K34</f>
        <v>367.5</v>
      </c>
      <c r="Q50" s="331">
        <f>'Licitante - Mão de Obra'!K35</f>
        <v>367.5</v>
      </c>
      <c r="R50" s="231">
        <f>'Licitante - Mão de Obra'!K36</f>
        <v>367.5</v>
      </c>
      <c r="S50" s="231">
        <f>'Licitante - Mão de Obra'!K37</f>
        <v>182.26</v>
      </c>
      <c r="T50" s="231">
        <f>'Licitante - Mão de Obra'!K38</f>
        <v>182.26</v>
      </c>
      <c r="U50" s="231">
        <f>'Licitante - Mão de Obra'!K39</f>
        <v>169.06</v>
      </c>
      <c r="V50" s="231">
        <f>'Licitante - Mão de Obra'!K40</f>
        <v>160.26</v>
      </c>
    </row>
    <row r="51" spans="1:22" ht="20" customHeight="1">
      <c r="A51" s="26" t="s">
        <v>37</v>
      </c>
      <c r="B51" s="516" t="s">
        <v>159</v>
      </c>
      <c r="C51" s="516"/>
      <c r="D51" s="516"/>
      <c r="E51" s="516"/>
      <c r="F51" s="516"/>
      <c r="G51" s="516"/>
      <c r="H51" s="516"/>
      <c r="I51" s="516"/>
      <c r="J51" s="517"/>
      <c r="K51" s="44">
        <f>'Licitante - Mão de Obra'!$K$43</f>
        <v>144.68</v>
      </c>
      <c r="L51" s="44">
        <f>'Licitante - Mão de Obra'!$K$43</f>
        <v>144.68</v>
      </c>
      <c r="M51" s="44">
        <f>'Licitante - Mão de Obra'!$K$43</f>
        <v>144.68</v>
      </c>
      <c r="N51" s="44">
        <f>'Licitante - Mão de Obra'!$K$43</f>
        <v>144.68</v>
      </c>
      <c r="O51" s="44">
        <f>'Licitante - Mão de Obra'!$K$43</f>
        <v>144.68</v>
      </c>
      <c r="P51" s="44">
        <f>'Licitante - Mão de Obra'!$K$43</f>
        <v>144.68</v>
      </c>
      <c r="Q51" s="44">
        <f>'Licitante - Mão de Obra'!$K$43</f>
        <v>144.68</v>
      </c>
      <c r="R51" s="44">
        <f>'Licitante - Mão de Obra'!$K$43</f>
        <v>144.68</v>
      </c>
      <c r="S51" s="44">
        <f>'Licitante - Mão de Obra'!$K$43</f>
        <v>144.68</v>
      </c>
      <c r="T51" s="44">
        <f>'Licitante - Mão de Obra'!$K$43</f>
        <v>144.68</v>
      </c>
      <c r="U51" s="44">
        <f>'Licitante - Mão de Obra'!$K$43</f>
        <v>144.68</v>
      </c>
      <c r="V51" s="44">
        <f>'Licitante - Mão de Obra'!$K$43</f>
        <v>144.68</v>
      </c>
    </row>
    <row r="52" spans="1:22" ht="20" customHeight="1">
      <c r="A52" s="26" t="s">
        <v>44</v>
      </c>
      <c r="B52" s="516" t="s">
        <v>160</v>
      </c>
      <c r="C52" s="516"/>
      <c r="D52" s="516"/>
      <c r="E52" s="516"/>
      <c r="F52" s="516"/>
      <c r="G52" s="516"/>
      <c r="H52" s="516"/>
      <c r="I52" s="516"/>
      <c r="J52" s="517"/>
      <c r="K52" s="44">
        <f>'Licitante - Mão de Obra'!$K$44</f>
        <v>426.14</v>
      </c>
      <c r="L52" s="44">
        <f>'Licitante - Mão de Obra'!$K$44</f>
        <v>426.14</v>
      </c>
      <c r="M52" s="44">
        <f>'Licitante - Mão de Obra'!$K$44</f>
        <v>426.14</v>
      </c>
      <c r="N52" s="44">
        <f>'Licitante - Mão de Obra'!$K$44</f>
        <v>426.14</v>
      </c>
      <c r="O52" s="44">
        <f>'Licitante - Mão de Obra'!$K$44</f>
        <v>426.14</v>
      </c>
      <c r="P52" s="44">
        <f>'Licitante - Mão de Obra'!$K$44</f>
        <v>426.14</v>
      </c>
      <c r="Q52" s="44">
        <f>'Licitante - Mão de Obra'!$K$44</f>
        <v>426.14</v>
      </c>
      <c r="R52" s="44">
        <f>'Licitante - Mão de Obra'!$K$44</f>
        <v>426.14</v>
      </c>
      <c r="S52" s="44">
        <f>'Licitante - Mão de Obra'!$K$44</f>
        <v>426.14</v>
      </c>
      <c r="T52" s="44">
        <f>'Licitante - Mão de Obra'!$K$44</f>
        <v>426.14</v>
      </c>
      <c r="U52" s="44">
        <f>'Licitante - Mão de Obra'!$K$44</f>
        <v>426.14</v>
      </c>
      <c r="V52" s="44">
        <f>'Licitante - Mão de Obra'!$K$44</f>
        <v>426.14</v>
      </c>
    </row>
    <row r="53" spans="1:22" ht="20" customHeight="1">
      <c r="A53" s="26" t="s">
        <v>30</v>
      </c>
      <c r="B53" s="516" t="s">
        <v>163</v>
      </c>
      <c r="C53" s="516"/>
      <c r="D53" s="516"/>
      <c r="E53" s="516"/>
      <c r="F53" s="516"/>
      <c r="G53" s="516"/>
      <c r="H53" s="516"/>
      <c r="I53" s="516"/>
      <c r="J53" s="517"/>
      <c r="K53" s="44">
        <f>'Licitante - Mão de Obra'!$K$48</f>
        <v>35.33</v>
      </c>
      <c r="L53" s="44">
        <f>'Licitante - Mão de Obra'!$K$48</f>
        <v>35.33</v>
      </c>
      <c r="M53" s="44">
        <f>'Licitante - Mão de Obra'!$K$48</f>
        <v>35.33</v>
      </c>
      <c r="N53" s="44">
        <f>'Licitante - Mão de Obra'!$K$48</f>
        <v>35.33</v>
      </c>
      <c r="O53" s="44">
        <f>'Licitante - Mão de Obra'!$K$48</f>
        <v>35.33</v>
      </c>
      <c r="P53" s="44">
        <f>'Licitante - Mão de Obra'!$K$48</f>
        <v>35.33</v>
      </c>
      <c r="Q53" s="44">
        <f>'Licitante - Mão de Obra'!$K$48</f>
        <v>35.33</v>
      </c>
      <c r="R53" s="44">
        <f>'Licitante - Mão de Obra'!$K$48</f>
        <v>35.33</v>
      </c>
      <c r="S53" s="44">
        <f>'Licitante - Mão de Obra'!$K$48</f>
        <v>35.33</v>
      </c>
      <c r="T53" s="44">
        <f>'Licitante - Mão de Obra'!$K$48</f>
        <v>35.33</v>
      </c>
      <c r="U53" s="44">
        <f>'Licitante - Mão de Obra'!$K$48</f>
        <v>35.33</v>
      </c>
      <c r="V53" s="44">
        <f>'Licitante - Mão de Obra'!$K$48</f>
        <v>35.33</v>
      </c>
    </row>
    <row r="54" spans="1:22" ht="20" customHeight="1">
      <c r="A54" s="26" t="s">
        <v>49</v>
      </c>
      <c r="B54" s="516" t="s">
        <v>164</v>
      </c>
      <c r="C54" s="516"/>
      <c r="D54" s="516"/>
      <c r="E54" s="516"/>
      <c r="F54" s="516"/>
      <c r="G54" s="516"/>
      <c r="H54" s="516"/>
      <c r="I54" s="516"/>
      <c r="J54" s="517"/>
      <c r="K54" s="44">
        <f>'Licitante - Mão de Obra'!$K$49</f>
        <v>13.661999999999999</v>
      </c>
      <c r="L54" s="44">
        <f>'Licitante - Mão de Obra'!$K$49</f>
        <v>13.661999999999999</v>
      </c>
      <c r="M54" s="44">
        <f>'Licitante - Mão de Obra'!$K$49</f>
        <v>13.661999999999999</v>
      </c>
      <c r="N54" s="44">
        <f>'Licitante - Mão de Obra'!$K$49</f>
        <v>13.661999999999999</v>
      </c>
      <c r="O54" s="44">
        <f>'Licitante - Mão de Obra'!$K$49</f>
        <v>13.661999999999999</v>
      </c>
      <c r="P54" s="44">
        <f>'Licitante - Mão de Obra'!$K$49</f>
        <v>13.661999999999999</v>
      </c>
      <c r="Q54" s="44">
        <f>'Licitante - Mão de Obra'!$K$49</f>
        <v>13.661999999999999</v>
      </c>
      <c r="R54" s="44">
        <f>'Licitante - Mão de Obra'!$K$49</f>
        <v>13.661999999999999</v>
      </c>
      <c r="S54" s="44">
        <f>'Licitante - Mão de Obra'!$K$49</f>
        <v>13.661999999999999</v>
      </c>
      <c r="T54" s="44">
        <f>'Licitante - Mão de Obra'!$K$49</f>
        <v>13.661999999999999</v>
      </c>
      <c r="U54" s="44">
        <f>'Licitante - Mão de Obra'!$K$49</f>
        <v>13.661999999999999</v>
      </c>
      <c r="V54" s="44">
        <f>'Licitante - Mão de Obra'!$K$49</f>
        <v>13.661999999999999</v>
      </c>
    </row>
    <row r="55" spans="1:22" ht="20" customHeight="1">
      <c r="A55" s="26" t="s">
        <v>51</v>
      </c>
      <c r="B55" s="516" t="s">
        <v>165</v>
      </c>
      <c r="C55" s="516"/>
      <c r="D55" s="516"/>
      <c r="E55" s="516"/>
      <c r="F55" s="516"/>
      <c r="G55" s="516"/>
      <c r="H55" s="516"/>
      <c r="I55" s="516"/>
      <c r="J55" s="517"/>
      <c r="K55" s="44">
        <f>'Licitante - Mão de Obra'!$K$52</f>
        <v>12.474</v>
      </c>
      <c r="L55" s="44">
        <f>'Licitante - Mão de Obra'!$K$52</f>
        <v>12.474</v>
      </c>
      <c r="M55" s="44">
        <f>'Licitante - Mão de Obra'!$K$52</f>
        <v>12.474</v>
      </c>
      <c r="N55" s="44">
        <f>'Licitante - Mão de Obra'!$K$52</f>
        <v>12.474</v>
      </c>
      <c r="O55" s="44">
        <f>'Licitante - Mão de Obra'!$K$52</f>
        <v>12.474</v>
      </c>
      <c r="P55" s="44">
        <f>'Licitante - Mão de Obra'!$K$52</f>
        <v>12.474</v>
      </c>
      <c r="Q55" s="44">
        <f>'Licitante - Mão de Obra'!$K$52</f>
        <v>12.474</v>
      </c>
      <c r="R55" s="44">
        <f>'Licitante - Mão de Obra'!$K$52</f>
        <v>12.474</v>
      </c>
      <c r="S55" s="44">
        <f>'Licitante - Mão de Obra'!$K$52</f>
        <v>12.474</v>
      </c>
      <c r="T55" s="44">
        <f>'Licitante - Mão de Obra'!$K$52</f>
        <v>12.474</v>
      </c>
      <c r="U55" s="44">
        <f>'Licitante - Mão de Obra'!$K$52</f>
        <v>12.474</v>
      </c>
      <c r="V55" s="44">
        <f>'Licitante - Mão de Obra'!$K$52</f>
        <v>12.474</v>
      </c>
    </row>
    <row r="56" spans="1:22" ht="20" customHeight="1">
      <c r="A56" s="26" t="s">
        <v>53</v>
      </c>
      <c r="B56" s="516" t="s">
        <v>222</v>
      </c>
      <c r="C56" s="516"/>
      <c r="D56" s="516"/>
      <c r="E56" s="516"/>
      <c r="F56" s="516"/>
      <c r="G56" s="516"/>
      <c r="H56" s="516"/>
      <c r="I56" s="516"/>
      <c r="J56" s="517"/>
      <c r="K56" s="44">
        <f>'Licitante - Mão de Obra'!$K$55</f>
        <v>15.96</v>
      </c>
      <c r="L56" s="44">
        <f>'Licitante - Mão de Obra'!$K$55</f>
        <v>15.96</v>
      </c>
      <c r="M56" s="44">
        <f>'Licitante - Mão de Obra'!$K$55</f>
        <v>15.96</v>
      </c>
      <c r="N56" s="44">
        <f>'Licitante - Mão de Obra'!$K$55</f>
        <v>15.96</v>
      </c>
      <c r="O56" s="44">
        <f>'Licitante - Mão de Obra'!$K$55</f>
        <v>15.96</v>
      </c>
      <c r="P56" s="44">
        <f>'Licitante - Mão de Obra'!$K$55</f>
        <v>15.96</v>
      </c>
      <c r="Q56" s="44">
        <f>'Licitante - Mão de Obra'!$K$55</f>
        <v>15.96</v>
      </c>
      <c r="R56" s="44">
        <f>'Licitante - Mão de Obra'!$K$55</f>
        <v>15.96</v>
      </c>
      <c r="S56" s="44">
        <f>'Licitante - Mão de Obra'!$K$55</f>
        <v>15.96</v>
      </c>
      <c r="T56" s="44">
        <f>'Licitante - Mão de Obra'!$K$55</f>
        <v>15.96</v>
      </c>
      <c r="U56" s="44">
        <f>'Licitante - Mão de Obra'!$K$55</f>
        <v>15.96</v>
      </c>
      <c r="V56" s="44">
        <f>'Licitante - Mão de Obra'!$K$55</f>
        <v>15.96</v>
      </c>
    </row>
    <row r="57" spans="1:22" ht="20" customHeight="1">
      <c r="A57" s="26" t="s">
        <v>55</v>
      </c>
      <c r="B57" s="516" t="s">
        <v>223</v>
      </c>
      <c r="C57" s="516"/>
      <c r="D57" s="516"/>
      <c r="E57" s="516"/>
      <c r="F57" s="516"/>
      <c r="G57" s="516"/>
      <c r="H57" s="516"/>
      <c r="I57" s="516"/>
      <c r="J57" s="517"/>
      <c r="K57" s="44">
        <f>'Licitante - Mão de Obra'!$K$56</f>
        <v>1.7300000000000002</v>
      </c>
      <c r="L57" s="44">
        <f>'Licitante - Mão de Obra'!$K$56</f>
        <v>1.7300000000000002</v>
      </c>
      <c r="M57" s="44">
        <f>'Licitante - Mão de Obra'!$K$56</f>
        <v>1.7300000000000002</v>
      </c>
      <c r="N57" s="44">
        <f>'Licitante - Mão de Obra'!$K$56</f>
        <v>1.7300000000000002</v>
      </c>
      <c r="O57" s="44">
        <f>'Licitante - Mão de Obra'!$K$56</f>
        <v>1.7300000000000002</v>
      </c>
      <c r="P57" s="44">
        <f>'Licitante - Mão de Obra'!$K$56</f>
        <v>1.7300000000000002</v>
      </c>
      <c r="Q57" s="44">
        <f>'Licitante - Mão de Obra'!$K$56</f>
        <v>1.7300000000000002</v>
      </c>
      <c r="R57" s="44">
        <f>'Licitante - Mão de Obra'!$K$56</f>
        <v>1.7300000000000002</v>
      </c>
      <c r="S57" s="44">
        <f>'Licitante - Mão de Obra'!$K$56</f>
        <v>1.7300000000000002</v>
      </c>
      <c r="T57" s="44">
        <f>'Licitante - Mão de Obra'!$K$56</f>
        <v>1.7300000000000002</v>
      </c>
      <c r="U57" s="44">
        <f>'Licitante - Mão de Obra'!$K$56</f>
        <v>1.7300000000000002</v>
      </c>
      <c r="V57" s="44">
        <f>'Licitante - Mão de Obra'!$K$56</f>
        <v>1.7300000000000002</v>
      </c>
    </row>
    <row r="58" spans="1:22" ht="35" customHeight="1" thickBot="1">
      <c r="A58" s="41" t="s">
        <v>138</v>
      </c>
      <c r="B58" s="516" t="str">
        <f>'Licitante - Mão de Obra'!B57</f>
        <v>Prêmio por assiduidade</v>
      </c>
      <c r="C58" s="516"/>
      <c r="D58" s="516"/>
      <c r="E58" s="516"/>
      <c r="F58" s="516"/>
      <c r="G58" s="516"/>
      <c r="H58" s="516"/>
      <c r="I58" s="516"/>
      <c r="J58" s="517"/>
      <c r="K58" s="45">
        <f>'Licitante - Mão de Obra'!$K$57</f>
        <v>300</v>
      </c>
      <c r="L58" s="230">
        <f>'Licitante - Mão de Obra'!$K$57</f>
        <v>300</v>
      </c>
      <c r="M58" s="230">
        <f>'Licitante - Mão de Obra'!$K$57</f>
        <v>300</v>
      </c>
      <c r="N58" s="230">
        <f>'Licitante - Mão de Obra'!$K$57</f>
        <v>300</v>
      </c>
      <c r="O58" s="330">
        <f>'Licitante - Mão de Obra'!$K$57</f>
        <v>300</v>
      </c>
      <c r="P58" s="330">
        <f>'Licitante - Mão de Obra'!$K$57</f>
        <v>300</v>
      </c>
      <c r="Q58" s="330">
        <f>'Licitante - Mão de Obra'!$K$57</f>
        <v>300</v>
      </c>
      <c r="R58" s="230">
        <f>'Licitante - Mão de Obra'!$K$57</f>
        <v>300</v>
      </c>
      <c r="S58" s="230">
        <f>'Licitante - Mão de Obra'!$K$57</f>
        <v>300</v>
      </c>
      <c r="T58" s="230">
        <f>'Licitante - Mão de Obra'!$K$57</f>
        <v>300</v>
      </c>
      <c r="U58" s="230">
        <f>'Licitante - Mão de Obra'!$K$57</f>
        <v>300</v>
      </c>
      <c r="V58" s="230">
        <f>'Licitante - Mão de Obra'!$K$57</f>
        <v>300</v>
      </c>
    </row>
    <row r="59" spans="1:22" ht="20" customHeight="1" thickBot="1">
      <c r="A59" s="676" t="s">
        <v>59</v>
      </c>
      <c r="B59" s="677"/>
      <c r="C59" s="677"/>
      <c r="D59" s="677"/>
      <c r="E59" s="677"/>
      <c r="F59" s="677"/>
      <c r="G59" s="677"/>
      <c r="H59" s="677"/>
      <c r="I59" s="677"/>
      <c r="J59" s="678"/>
      <c r="K59" s="32">
        <f t="shared" ref="K59:V59" si="15">SUM(K50:K58)</f>
        <v>1317.4760000000001</v>
      </c>
      <c r="L59" s="32">
        <f t="shared" si="15"/>
        <v>1317.4760000000001</v>
      </c>
      <c r="M59" s="32">
        <f t="shared" si="15"/>
        <v>1317.4760000000001</v>
      </c>
      <c r="N59" s="32">
        <f t="shared" si="15"/>
        <v>1317.4760000000001</v>
      </c>
      <c r="O59" s="32">
        <f t="shared" si="15"/>
        <v>1317.4760000000001</v>
      </c>
      <c r="P59" s="32">
        <f t="shared" si="15"/>
        <v>1317.4760000000001</v>
      </c>
      <c r="Q59" s="32">
        <f t="shared" si="15"/>
        <v>1317.4760000000001</v>
      </c>
      <c r="R59" s="32">
        <f t="shared" si="15"/>
        <v>1317.4760000000001</v>
      </c>
      <c r="S59" s="32">
        <f t="shared" si="15"/>
        <v>1132.2360000000001</v>
      </c>
      <c r="T59" s="32">
        <f t="shared" si="15"/>
        <v>1132.2360000000001</v>
      </c>
      <c r="U59" s="32">
        <f t="shared" si="15"/>
        <v>1119.0360000000001</v>
      </c>
      <c r="V59" s="32">
        <f t="shared" si="15"/>
        <v>1110.2360000000001</v>
      </c>
    </row>
    <row r="60" spans="1:22" ht="50" customHeight="1" thickBot="1">
      <c r="A60" s="731" t="s">
        <v>187</v>
      </c>
      <c r="B60" s="732"/>
      <c r="C60" s="732"/>
      <c r="D60" s="732"/>
      <c r="E60" s="732"/>
      <c r="F60" s="732"/>
      <c r="G60" s="732"/>
      <c r="H60" s="732"/>
      <c r="I60" s="732"/>
      <c r="J60" s="732"/>
      <c r="K60" s="707"/>
    </row>
    <row r="61" spans="1:22" s="9" customFormat="1" ht="20" customHeight="1" thickBot="1">
      <c r="A61" s="541" t="s">
        <v>60</v>
      </c>
      <c r="B61" s="444"/>
      <c r="C61" s="444"/>
      <c r="D61" s="444"/>
      <c r="E61" s="444"/>
      <c r="F61" s="444"/>
      <c r="G61" s="444"/>
      <c r="H61" s="444"/>
      <c r="I61" s="444"/>
      <c r="J61" s="445"/>
      <c r="K61" s="29" t="s">
        <v>26</v>
      </c>
      <c r="L61" s="29" t="s">
        <v>26</v>
      </c>
      <c r="M61" s="29" t="s">
        <v>26</v>
      </c>
      <c r="N61" s="29" t="s">
        <v>26</v>
      </c>
      <c r="O61" s="29" t="s">
        <v>26</v>
      </c>
      <c r="P61" s="29" t="s">
        <v>26</v>
      </c>
      <c r="Q61" s="29" t="s">
        <v>26</v>
      </c>
      <c r="R61" s="29" t="s">
        <v>26</v>
      </c>
      <c r="S61" s="29" t="s">
        <v>26</v>
      </c>
      <c r="T61" s="29" t="s">
        <v>26</v>
      </c>
      <c r="U61" s="29" t="s">
        <v>26</v>
      </c>
      <c r="V61" s="29" t="s">
        <v>26</v>
      </c>
    </row>
    <row r="62" spans="1:22" ht="20" customHeight="1">
      <c r="A62" s="725" t="s">
        <v>166</v>
      </c>
      <c r="B62" s="726"/>
      <c r="C62" s="718" t="s">
        <v>169</v>
      </c>
      <c r="D62" s="700"/>
      <c r="E62" s="700"/>
      <c r="F62" s="700"/>
      <c r="G62" s="700"/>
      <c r="H62" s="700"/>
      <c r="I62" s="700"/>
      <c r="J62" s="701"/>
      <c r="K62" s="48">
        <f>K35</f>
        <v>196.39012666666665</v>
      </c>
      <c r="L62" s="48">
        <f t="shared" ref="L62:V62" si="16">L35</f>
        <v>196.39012666666665</v>
      </c>
      <c r="M62" s="48">
        <f t="shared" si="16"/>
        <v>196.39012666666665</v>
      </c>
      <c r="N62" s="48">
        <f t="shared" si="16"/>
        <v>196.39012666666665</v>
      </c>
      <c r="O62" s="48">
        <f t="shared" si="16"/>
        <v>196.39012666666665</v>
      </c>
      <c r="P62" s="48">
        <f t="shared" si="16"/>
        <v>196.39012666666665</v>
      </c>
      <c r="Q62" s="48">
        <f t="shared" si="16"/>
        <v>196.39012666666665</v>
      </c>
      <c r="R62" s="48">
        <f t="shared" si="16"/>
        <v>196.39012666666665</v>
      </c>
      <c r="S62" s="48">
        <f t="shared" si="16"/>
        <v>196.39012666666665</v>
      </c>
      <c r="T62" s="48">
        <f t="shared" si="16"/>
        <v>196.39012666666665</v>
      </c>
      <c r="U62" s="48">
        <f t="shared" si="16"/>
        <v>196.39012666666665</v>
      </c>
      <c r="V62" s="48">
        <f t="shared" si="16"/>
        <v>196.39012666666665</v>
      </c>
    </row>
    <row r="63" spans="1:22" ht="20" customHeight="1">
      <c r="A63" s="727" t="s">
        <v>167</v>
      </c>
      <c r="B63" s="728"/>
      <c r="C63" s="719" t="s">
        <v>170</v>
      </c>
      <c r="D63" s="720"/>
      <c r="E63" s="720"/>
      <c r="F63" s="720"/>
      <c r="G63" s="720"/>
      <c r="H63" s="720"/>
      <c r="I63" s="720"/>
      <c r="J63" s="721"/>
      <c r="K63" s="49">
        <f>K47</f>
        <v>689.30398534666665</v>
      </c>
      <c r="L63" s="49">
        <f t="shared" ref="L63:V63" si="17">L47</f>
        <v>689.30398534666665</v>
      </c>
      <c r="M63" s="49">
        <f t="shared" si="17"/>
        <v>689.30398534666665</v>
      </c>
      <c r="N63" s="49">
        <f t="shared" si="17"/>
        <v>689.30398534666665</v>
      </c>
      <c r="O63" s="49">
        <f t="shared" si="17"/>
        <v>689.30398534666665</v>
      </c>
      <c r="P63" s="49">
        <f t="shared" si="17"/>
        <v>689.30398534666665</v>
      </c>
      <c r="Q63" s="49">
        <f t="shared" si="17"/>
        <v>689.30398534666665</v>
      </c>
      <c r="R63" s="49">
        <f t="shared" si="17"/>
        <v>689.30398534666665</v>
      </c>
      <c r="S63" s="49">
        <f t="shared" si="17"/>
        <v>689.30398534666665</v>
      </c>
      <c r="T63" s="49">
        <f t="shared" si="17"/>
        <v>689.30398534666665</v>
      </c>
      <c r="U63" s="49">
        <f t="shared" si="17"/>
        <v>689.30398534666665</v>
      </c>
      <c r="V63" s="49">
        <f t="shared" si="17"/>
        <v>689.30398534666665</v>
      </c>
    </row>
    <row r="64" spans="1:22" ht="20" customHeight="1" thickBot="1">
      <c r="A64" s="729" t="s">
        <v>168</v>
      </c>
      <c r="B64" s="730"/>
      <c r="C64" s="722" t="s">
        <v>61</v>
      </c>
      <c r="D64" s="723"/>
      <c r="E64" s="723"/>
      <c r="F64" s="723"/>
      <c r="G64" s="723"/>
      <c r="H64" s="723"/>
      <c r="I64" s="723"/>
      <c r="J64" s="724"/>
      <c r="K64" s="50">
        <f t="shared" ref="K64:V64" si="18">K59</f>
        <v>1317.4760000000001</v>
      </c>
      <c r="L64" s="50">
        <f t="shared" si="18"/>
        <v>1317.4760000000001</v>
      </c>
      <c r="M64" s="50">
        <f t="shared" si="18"/>
        <v>1317.4760000000001</v>
      </c>
      <c r="N64" s="50">
        <f t="shared" si="18"/>
        <v>1317.4760000000001</v>
      </c>
      <c r="O64" s="50">
        <f t="shared" si="18"/>
        <v>1317.4760000000001</v>
      </c>
      <c r="P64" s="50">
        <f t="shared" si="18"/>
        <v>1317.4760000000001</v>
      </c>
      <c r="Q64" s="50">
        <f t="shared" si="18"/>
        <v>1317.4760000000001</v>
      </c>
      <c r="R64" s="50">
        <f t="shared" si="18"/>
        <v>1317.4760000000001</v>
      </c>
      <c r="S64" s="50">
        <f t="shared" si="18"/>
        <v>1132.2360000000001</v>
      </c>
      <c r="T64" s="50">
        <f t="shared" si="18"/>
        <v>1132.2360000000001</v>
      </c>
      <c r="U64" s="50">
        <f t="shared" si="18"/>
        <v>1119.0360000000001</v>
      </c>
      <c r="V64" s="50">
        <f t="shared" si="18"/>
        <v>1110.2360000000001</v>
      </c>
    </row>
    <row r="65" spans="1:22" ht="20" customHeight="1" thickBot="1">
      <c r="A65" s="618" t="s">
        <v>62</v>
      </c>
      <c r="B65" s="619"/>
      <c r="C65" s="619"/>
      <c r="D65" s="619"/>
      <c r="E65" s="619"/>
      <c r="F65" s="619"/>
      <c r="G65" s="619"/>
      <c r="H65" s="619"/>
      <c r="I65" s="619"/>
      <c r="J65" s="620"/>
      <c r="K65" s="51">
        <f t="shared" ref="K65:V65" si="19">SUM(K62:K64)</f>
        <v>2203.1701120133334</v>
      </c>
      <c r="L65" s="51">
        <f t="shared" si="19"/>
        <v>2203.1701120133334</v>
      </c>
      <c r="M65" s="51">
        <f t="shared" si="19"/>
        <v>2203.1701120133334</v>
      </c>
      <c r="N65" s="51">
        <f t="shared" si="19"/>
        <v>2203.1701120133334</v>
      </c>
      <c r="O65" s="51">
        <f t="shared" si="19"/>
        <v>2203.1701120133334</v>
      </c>
      <c r="P65" s="51">
        <f t="shared" si="19"/>
        <v>2203.1701120133334</v>
      </c>
      <c r="Q65" s="51">
        <f t="shared" si="19"/>
        <v>2203.1701120133334</v>
      </c>
      <c r="R65" s="51">
        <f t="shared" si="19"/>
        <v>2203.1701120133334</v>
      </c>
      <c r="S65" s="51">
        <f t="shared" si="19"/>
        <v>2017.9301120133334</v>
      </c>
      <c r="T65" s="51">
        <f t="shared" si="19"/>
        <v>2017.9301120133334</v>
      </c>
      <c r="U65" s="51">
        <f t="shared" si="19"/>
        <v>2004.7301120133334</v>
      </c>
      <c r="V65" s="51">
        <f t="shared" si="19"/>
        <v>1995.9301120133334</v>
      </c>
    </row>
    <row r="66" spans="1:22" ht="20" customHeight="1" thickBot="1">
      <c r="A66" s="459"/>
      <c r="B66" s="459"/>
      <c r="C66" s="459"/>
      <c r="D66" s="459"/>
      <c r="E66" s="459"/>
      <c r="F66" s="459"/>
      <c r="G66" s="459"/>
      <c r="H66" s="459"/>
      <c r="I66" s="459"/>
      <c r="J66" s="459"/>
      <c r="K66" s="459"/>
    </row>
    <row r="67" spans="1:22" ht="20" customHeight="1" thickBot="1">
      <c r="A67" s="733" t="s">
        <v>63</v>
      </c>
      <c r="B67" s="734"/>
      <c r="C67" s="734"/>
      <c r="D67" s="734"/>
      <c r="E67" s="734"/>
      <c r="F67" s="734"/>
      <c r="G67" s="734"/>
      <c r="H67" s="734"/>
      <c r="I67" s="734"/>
      <c r="J67" s="734"/>
      <c r="K67" s="29" t="s">
        <v>26</v>
      </c>
      <c r="L67" s="29" t="s">
        <v>26</v>
      </c>
      <c r="M67" s="29" t="s">
        <v>26</v>
      </c>
      <c r="N67" s="29" t="s">
        <v>26</v>
      </c>
      <c r="O67" s="29" t="s">
        <v>26</v>
      </c>
      <c r="P67" s="29" t="s">
        <v>26</v>
      </c>
      <c r="Q67" s="29" t="s">
        <v>26</v>
      </c>
      <c r="R67" s="29" t="s">
        <v>26</v>
      </c>
      <c r="S67" s="29" t="s">
        <v>26</v>
      </c>
      <c r="T67" s="29" t="s">
        <v>26</v>
      </c>
      <c r="U67" s="29" t="s">
        <v>26</v>
      </c>
      <c r="V67" s="29" t="s">
        <v>26</v>
      </c>
    </row>
    <row r="68" spans="1:22" ht="20" customHeight="1">
      <c r="A68" s="14" t="s">
        <v>27</v>
      </c>
      <c r="B68" s="664" t="s">
        <v>64</v>
      </c>
      <c r="C68" s="664"/>
      <c r="D68" s="664"/>
      <c r="E68" s="664"/>
      <c r="F68" s="664"/>
      <c r="G68" s="664"/>
      <c r="H68" s="664"/>
      <c r="I68" s="664"/>
      <c r="J68" s="665"/>
      <c r="K68" s="326">
        <f>(K29+K35)*'Licitante - Mão de Obra'!$J$60</f>
        <v>8.0226255277777767</v>
      </c>
      <c r="L68" s="326">
        <f>(L29+L35)*'Licitante - Mão de Obra'!$J$60</f>
        <v>8.0226255277777767</v>
      </c>
      <c r="M68" s="326">
        <f>(M29+M35)*'Licitante - Mão de Obra'!$J$60</f>
        <v>8.0226255277777767</v>
      </c>
      <c r="N68" s="326">
        <f>(N29+N35)*'Licitante - Mão de Obra'!$J$60</f>
        <v>8.0226255277777767</v>
      </c>
      <c r="O68" s="326">
        <f>(O29+O35)*'Licitante - Mão de Obra'!$J$60</f>
        <v>8.0226255277777767</v>
      </c>
      <c r="P68" s="326">
        <f>(P29+P35)*'Licitante - Mão de Obra'!$J$60</f>
        <v>8.0226255277777767</v>
      </c>
      <c r="Q68" s="326">
        <f>(Q29+Q35)*'Licitante - Mão de Obra'!$J$60</f>
        <v>8.0226255277777767</v>
      </c>
      <c r="R68" s="326">
        <f>(R29+R35)*'Licitante - Mão de Obra'!$J$60</f>
        <v>8.0226255277777767</v>
      </c>
      <c r="S68" s="326">
        <f>(S29+S35)*'Licitante - Mão de Obra'!$J$60</f>
        <v>8.0226255277777767</v>
      </c>
      <c r="T68" s="326">
        <f>(T29+T35)*'Licitante - Mão de Obra'!$J$60</f>
        <v>8.0226255277777767</v>
      </c>
      <c r="U68" s="326">
        <f>(U29+U35)*'Licitante - Mão de Obra'!$J$60</f>
        <v>8.0226255277777767</v>
      </c>
      <c r="V68" s="326">
        <f>(V29+V35)*'Licitante - Mão de Obra'!$J$60</f>
        <v>8.0226255277777767</v>
      </c>
    </row>
    <row r="69" spans="1:22" ht="20" customHeight="1">
      <c r="A69" s="14" t="s">
        <v>37</v>
      </c>
      <c r="B69" s="664" t="s">
        <v>66</v>
      </c>
      <c r="C69" s="664"/>
      <c r="D69" s="664"/>
      <c r="E69" s="664"/>
      <c r="F69" s="664"/>
      <c r="G69" s="664"/>
      <c r="H69" s="664"/>
      <c r="I69" s="664" t="s">
        <v>67</v>
      </c>
      <c r="J69" s="665">
        <f>0.08*J68</f>
        <v>0</v>
      </c>
      <c r="K69" s="80">
        <f t="shared" ref="K69:V69" si="20">ROUND(K68*$J$46,2)</f>
        <v>0.64</v>
      </c>
      <c r="L69" s="80">
        <f t="shared" si="20"/>
        <v>0.64</v>
      </c>
      <c r="M69" s="80">
        <f t="shared" si="20"/>
        <v>0.64</v>
      </c>
      <c r="N69" s="80">
        <f t="shared" si="20"/>
        <v>0.64</v>
      </c>
      <c r="O69" s="80">
        <f t="shared" si="20"/>
        <v>0.64</v>
      </c>
      <c r="P69" s="80">
        <f t="shared" si="20"/>
        <v>0.64</v>
      </c>
      <c r="Q69" s="80">
        <f t="shared" si="20"/>
        <v>0.64</v>
      </c>
      <c r="R69" s="80">
        <f t="shared" si="20"/>
        <v>0.64</v>
      </c>
      <c r="S69" s="80">
        <f t="shared" si="20"/>
        <v>0.64</v>
      </c>
      <c r="T69" s="80">
        <f t="shared" si="20"/>
        <v>0.64</v>
      </c>
      <c r="U69" s="80">
        <f t="shared" si="20"/>
        <v>0.64</v>
      </c>
      <c r="V69" s="80">
        <f t="shared" si="20"/>
        <v>0.64</v>
      </c>
    </row>
    <row r="70" spans="1:22" s="9" customFormat="1" ht="20" customHeight="1">
      <c r="A70" s="14" t="s">
        <v>44</v>
      </c>
      <c r="B70" s="665" t="s">
        <v>342</v>
      </c>
      <c r="C70" s="739"/>
      <c r="D70" s="739"/>
      <c r="E70" s="739"/>
      <c r="F70" s="739"/>
      <c r="G70" s="739"/>
      <c r="H70" s="739"/>
      <c r="I70" s="739"/>
      <c r="J70" s="740"/>
      <c r="K70" s="80">
        <f>ROUND((K29+K35)*0.08*0.4*'Licitante - Mão de Obra'!$H$60,2)</f>
        <v>3.08</v>
      </c>
      <c r="L70" s="80">
        <f>ROUND((L29+L35)*0.08*0.4*'Licitante - Mão de Obra'!$H$60,2)</f>
        <v>3.08</v>
      </c>
      <c r="M70" s="80">
        <f>ROUND((M29+M35)*0.08*0.4*'Licitante - Mão de Obra'!$H$60,2)</f>
        <v>3.08</v>
      </c>
      <c r="N70" s="80">
        <f>ROUND((N29+N35)*0.08*0.4*'Licitante - Mão de Obra'!$H$60,2)</f>
        <v>3.08</v>
      </c>
      <c r="O70" s="80">
        <f>ROUND((O29+O35)*0.08*0.4*'Licitante - Mão de Obra'!$H$60,2)</f>
        <v>3.08</v>
      </c>
      <c r="P70" s="80">
        <f>ROUND((P29+P35)*0.08*0.4*'Licitante - Mão de Obra'!$H$60,2)</f>
        <v>3.08</v>
      </c>
      <c r="Q70" s="80">
        <f>ROUND((Q29+Q35)*0.08*0.4*'Licitante - Mão de Obra'!$H$60,2)</f>
        <v>3.08</v>
      </c>
      <c r="R70" s="80">
        <f>ROUND((R29+R35)*0.08*0.4*'Licitante - Mão de Obra'!$H$60,2)</f>
        <v>3.08</v>
      </c>
      <c r="S70" s="80">
        <f>ROUND((S29+S35)*0.08*0.4*'Licitante - Mão de Obra'!$H$60,2)</f>
        <v>3.08</v>
      </c>
      <c r="T70" s="80">
        <f>ROUND((T29+T35)*0.08*0.4*'Licitante - Mão de Obra'!$H$60,2)</f>
        <v>3.08</v>
      </c>
      <c r="U70" s="80">
        <f>ROUND((U29+U35)*0.08*0.4*'Licitante - Mão de Obra'!$H$60,2)</f>
        <v>3.08</v>
      </c>
      <c r="V70" s="80">
        <f>ROUND((V29+V35)*0.08*0.4*'Licitante - Mão de Obra'!$H$60,2)</f>
        <v>3.08</v>
      </c>
    </row>
    <row r="71" spans="1:22" ht="20" customHeight="1">
      <c r="A71" s="14" t="s">
        <v>30</v>
      </c>
      <c r="B71" s="664" t="s">
        <v>68</v>
      </c>
      <c r="C71" s="664"/>
      <c r="D71" s="664"/>
      <c r="E71" s="664"/>
      <c r="F71" s="664" t="s">
        <v>69</v>
      </c>
      <c r="G71" s="664"/>
      <c r="H71" s="664"/>
      <c r="I71" s="664"/>
      <c r="J71" s="665">
        <v>1.9400000000000001E-2</v>
      </c>
      <c r="K71" s="80">
        <f>(K29+K35)*(7/12/30)*(100%-'Licitante - Mão de Obra'!$H$60)</f>
        <v>35.566973173148149</v>
      </c>
      <c r="L71" s="80">
        <f>(L29+L35)*(7/12/30)*(100%-'Licitante - Mão de Obra'!$H$60)</f>
        <v>35.566973173148149</v>
      </c>
      <c r="M71" s="80">
        <f>(M29+M35)*(7/12/30)*(100%-'Licitante - Mão de Obra'!$H$60)</f>
        <v>35.566973173148149</v>
      </c>
      <c r="N71" s="80">
        <f>(N29+N35)*(7/12/30)*(100%-'Licitante - Mão de Obra'!$H$60)</f>
        <v>35.566973173148149</v>
      </c>
      <c r="O71" s="80">
        <f>(O29+O35)*(7/12/30)*(100%-'Licitante - Mão de Obra'!$H$60)</f>
        <v>35.566973173148149</v>
      </c>
      <c r="P71" s="80">
        <f>(P29+P35)*(7/12/30)*(100%-'Licitante - Mão de Obra'!$H$60)</f>
        <v>35.566973173148149</v>
      </c>
      <c r="Q71" s="80">
        <f>(Q29+Q35)*(7/12/30)*(100%-'Licitante - Mão de Obra'!$H$60)</f>
        <v>35.566973173148149</v>
      </c>
      <c r="R71" s="80">
        <f>(R29+R35)*(7/12/30)*(100%-'Licitante - Mão de Obra'!$H$60)</f>
        <v>35.566973173148149</v>
      </c>
      <c r="S71" s="80">
        <f>(S29+S35)*(7/12/30)*(100%-'Licitante - Mão de Obra'!$H$60)</f>
        <v>35.566973173148149</v>
      </c>
      <c r="T71" s="80">
        <f>(T29+T35)*(7/12/30)*(100%-'Licitante - Mão de Obra'!$H$60)</f>
        <v>35.566973173148149</v>
      </c>
      <c r="U71" s="80">
        <f>(U29+U35)*(7/12/30)*(100%-'Licitante - Mão de Obra'!$H$60)</f>
        <v>35.566973173148149</v>
      </c>
      <c r="V71" s="80">
        <f>(V29+V35)*(7/12/30)*(100%-'Licitante - Mão de Obra'!$H$60)</f>
        <v>35.566973173148149</v>
      </c>
    </row>
    <row r="72" spans="1:22" ht="20" customHeight="1">
      <c r="A72" s="14" t="s">
        <v>49</v>
      </c>
      <c r="B72" s="664" t="s">
        <v>70</v>
      </c>
      <c r="C72" s="664"/>
      <c r="D72" s="664"/>
      <c r="E72" s="664"/>
      <c r="F72" s="664"/>
      <c r="G72" s="664"/>
      <c r="H72" s="664"/>
      <c r="I72" s="664"/>
      <c r="J72" s="665">
        <f>J47*J71</f>
        <v>6.9452000000000012E-3</v>
      </c>
      <c r="K72" s="80">
        <f>ROUND($J$47*K71,2)</f>
        <v>12.73</v>
      </c>
      <c r="L72" s="80">
        <f t="shared" ref="L72:V72" si="21">ROUND($J$47*L71,2)</f>
        <v>12.73</v>
      </c>
      <c r="M72" s="80">
        <f t="shared" si="21"/>
        <v>12.73</v>
      </c>
      <c r="N72" s="80">
        <f t="shared" si="21"/>
        <v>12.73</v>
      </c>
      <c r="O72" s="80">
        <f t="shared" si="21"/>
        <v>12.73</v>
      </c>
      <c r="P72" s="80">
        <f t="shared" si="21"/>
        <v>12.73</v>
      </c>
      <c r="Q72" s="80">
        <f t="shared" si="21"/>
        <v>12.73</v>
      </c>
      <c r="R72" s="80">
        <f t="shared" si="21"/>
        <v>12.73</v>
      </c>
      <c r="S72" s="80">
        <f t="shared" si="21"/>
        <v>12.73</v>
      </c>
      <c r="T72" s="80">
        <f t="shared" si="21"/>
        <v>12.73</v>
      </c>
      <c r="U72" s="80">
        <f t="shared" si="21"/>
        <v>12.73</v>
      </c>
      <c r="V72" s="80">
        <f t="shared" si="21"/>
        <v>12.73</v>
      </c>
    </row>
    <row r="73" spans="1:22" ht="20" customHeight="1" thickBot="1">
      <c r="A73" s="22" t="s">
        <v>51</v>
      </c>
      <c r="B73" s="735" t="s">
        <v>188</v>
      </c>
      <c r="C73" s="736"/>
      <c r="D73" s="736"/>
      <c r="E73" s="736"/>
      <c r="F73" s="736"/>
      <c r="G73" s="736"/>
      <c r="H73" s="736"/>
      <c r="I73" s="737"/>
      <c r="J73" s="83">
        <v>0.04</v>
      </c>
      <c r="K73" s="81">
        <f>ROUND((K29+K35)*0.08*0.4,2)</f>
        <v>61.61</v>
      </c>
      <c r="L73" s="81">
        <f t="shared" ref="L73:V73" si="22">ROUND((L29+L35)*0.08*0.4,2)</f>
        <v>61.61</v>
      </c>
      <c r="M73" s="81">
        <f t="shared" si="22"/>
        <v>61.61</v>
      </c>
      <c r="N73" s="81">
        <f t="shared" si="22"/>
        <v>61.61</v>
      </c>
      <c r="O73" s="81">
        <f t="shared" si="22"/>
        <v>61.61</v>
      </c>
      <c r="P73" s="81">
        <f t="shared" si="22"/>
        <v>61.61</v>
      </c>
      <c r="Q73" s="81">
        <f t="shared" si="22"/>
        <v>61.61</v>
      </c>
      <c r="R73" s="81">
        <f t="shared" si="22"/>
        <v>61.61</v>
      </c>
      <c r="S73" s="81">
        <f t="shared" si="22"/>
        <v>61.61</v>
      </c>
      <c r="T73" s="81">
        <f t="shared" si="22"/>
        <v>61.61</v>
      </c>
      <c r="U73" s="81">
        <f t="shared" si="22"/>
        <v>61.61</v>
      </c>
      <c r="V73" s="81">
        <f t="shared" si="22"/>
        <v>61.61</v>
      </c>
    </row>
    <row r="74" spans="1:22" ht="20" customHeight="1" thickBot="1">
      <c r="A74" s="618" t="s">
        <v>71</v>
      </c>
      <c r="B74" s="619"/>
      <c r="C74" s="619"/>
      <c r="D74" s="619"/>
      <c r="E74" s="619"/>
      <c r="F74" s="619"/>
      <c r="G74" s="619"/>
      <c r="H74" s="619"/>
      <c r="I74" s="619"/>
      <c r="J74" s="620"/>
      <c r="K74" s="84">
        <f t="shared" ref="K74:V74" si="23">SUM(K68:K73)</f>
        <v>121.64959870092592</v>
      </c>
      <c r="L74" s="84">
        <f t="shared" si="23"/>
        <v>121.64959870092592</v>
      </c>
      <c r="M74" s="84">
        <f t="shared" si="23"/>
        <v>121.64959870092592</v>
      </c>
      <c r="N74" s="84">
        <f t="shared" si="23"/>
        <v>121.64959870092592</v>
      </c>
      <c r="O74" s="84">
        <f t="shared" si="23"/>
        <v>121.64959870092592</v>
      </c>
      <c r="P74" s="84">
        <f t="shared" si="23"/>
        <v>121.64959870092592</v>
      </c>
      <c r="Q74" s="84">
        <f t="shared" si="23"/>
        <v>121.64959870092592</v>
      </c>
      <c r="R74" s="84">
        <f t="shared" si="23"/>
        <v>121.64959870092592</v>
      </c>
      <c r="S74" s="84">
        <f t="shared" si="23"/>
        <v>121.64959870092592</v>
      </c>
      <c r="T74" s="84">
        <f t="shared" si="23"/>
        <v>121.64959870092592</v>
      </c>
      <c r="U74" s="84">
        <f t="shared" si="23"/>
        <v>121.64959870092592</v>
      </c>
      <c r="V74" s="84">
        <f t="shared" si="23"/>
        <v>121.64959870092592</v>
      </c>
    </row>
    <row r="75" spans="1:22" ht="32" customHeight="1">
      <c r="A75" s="797"/>
      <c r="B75" s="798"/>
      <c r="C75" s="798"/>
      <c r="D75" s="798"/>
      <c r="E75" s="798"/>
      <c r="F75" s="798"/>
      <c r="G75" s="798"/>
      <c r="H75" s="798"/>
      <c r="I75" s="798"/>
      <c r="J75" s="799"/>
      <c r="K75" s="303" t="s">
        <v>359</v>
      </c>
      <c r="L75" s="303" t="s">
        <v>360</v>
      </c>
      <c r="M75" s="303" t="s">
        <v>361</v>
      </c>
      <c r="N75" s="303" t="s">
        <v>362</v>
      </c>
      <c r="O75" s="353" t="s">
        <v>370</v>
      </c>
      <c r="P75" s="303" t="s">
        <v>371</v>
      </c>
      <c r="Q75" s="303" t="s">
        <v>372</v>
      </c>
      <c r="R75" s="303" t="s">
        <v>365</v>
      </c>
      <c r="S75" s="303" t="s">
        <v>366</v>
      </c>
      <c r="T75" s="303" t="s">
        <v>367</v>
      </c>
      <c r="U75" s="303" t="s">
        <v>368</v>
      </c>
      <c r="V75" s="303" t="s">
        <v>369</v>
      </c>
    </row>
    <row r="76" spans="1:22" ht="20" customHeight="1">
      <c r="A76" s="468" t="s">
        <v>72</v>
      </c>
      <c r="B76" s="468"/>
      <c r="C76" s="468"/>
      <c r="D76" s="468"/>
      <c r="E76" s="468"/>
      <c r="F76" s="468"/>
      <c r="G76" s="468"/>
      <c r="H76" s="468"/>
      <c r="I76" s="468"/>
      <c r="J76" s="468"/>
      <c r="K76" s="738"/>
      <c r="L76" s="738"/>
      <c r="M76" s="738"/>
      <c r="N76" s="738"/>
      <c r="O76" s="738"/>
      <c r="P76" s="738"/>
      <c r="Q76" s="738"/>
      <c r="R76" s="738"/>
      <c r="S76" s="738"/>
      <c r="T76" s="738"/>
      <c r="U76" s="738"/>
      <c r="V76" s="738"/>
    </row>
    <row r="77" spans="1:22" s="9" customFormat="1" ht="20" customHeight="1">
      <c r="A77" s="684" t="s">
        <v>407</v>
      </c>
      <c r="B77" s="685"/>
      <c r="C77" s="685"/>
      <c r="D77" s="685"/>
      <c r="E77" s="685"/>
      <c r="F77" s="685"/>
      <c r="G77" s="685"/>
      <c r="H77" s="686"/>
      <c r="I77" s="680" t="s">
        <v>181</v>
      </c>
      <c r="J77" s="680"/>
      <c r="K77" s="298">
        <f>K29</f>
        <v>1729.04</v>
      </c>
      <c r="L77" s="298">
        <f t="shared" ref="L77:V77" si="24">L29</f>
        <v>1729.04</v>
      </c>
      <c r="M77" s="298">
        <f t="shared" si="24"/>
        <v>1729.04</v>
      </c>
      <c r="N77" s="298">
        <f t="shared" si="24"/>
        <v>1729.04</v>
      </c>
      <c r="O77" s="298">
        <f t="shared" si="24"/>
        <v>1729.04</v>
      </c>
      <c r="P77" s="298">
        <f t="shared" si="24"/>
        <v>1729.04</v>
      </c>
      <c r="Q77" s="298">
        <f t="shared" si="24"/>
        <v>1729.04</v>
      </c>
      <c r="R77" s="298">
        <f t="shared" si="24"/>
        <v>1729.04</v>
      </c>
      <c r="S77" s="298">
        <f t="shared" si="24"/>
        <v>1729.04</v>
      </c>
      <c r="T77" s="298">
        <f t="shared" si="24"/>
        <v>1729.04</v>
      </c>
      <c r="U77" s="298">
        <f t="shared" si="24"/>
        <v>1729.04</v>
      </c>
      <c r="V77" s="298">
        <f t="shared" si="24"/>
        <v>1729.04</v>
      </c>
    </row>
    <row r="78" spans="1:22" s="9" customFormat="1" ht="29.5" customHeight="1">
      <c r="A78" s="684"/>
      <c r="B78" s="685"/>
      <c r="C78" s="685"/>
      <c r="D78" s="685"/>
      <c r="E78" s="685"/>
      <c r="F78" s="685"/>
      <c r="G78" s="685"/>
      <c r="H78" s="686"/>
      <c r="I78" s="691" t="s">
        <v>406</v>
      </c>
      <c r="J78" s="691"/>
      <c r="K78" s="114">
        <f>K65-K50-K52-K58</f>
        <v>1109.5301120133336</v>
      </c>
      <c r="L78" s="114">
        <f t="shared" ref="L78:V78" si="25">L65-L50-L52-L58</f>
        <v>1109.5301120133336</v>
      </c>
      <c r="M78" s="114">
        <f t="shared" si="25"/>
        <v>1109.5301120133336</v>
      </c>
      <c r="N78" s="114">
        <f>N65-N50-N52-N58</f>
        <v>1109.5301120133336</v>
      </c>
      <c r="O78" s="114">
        <f t="shared" si="25"/>
        <v>1109.5301120133336</v>
      </c>
      <c r="P78" s="114">
        <f t="shared" si="25"/>
        <v>1109.5301120133336</v>
      </c>
      <c r="Q78" s="114">
        <f t="shared" si="25"/>
        <v>1109.5301120133336</v>
      </c>
      <c r="R78" s="114">
        <f t="shared" si="25"/>
        <v>1109.5301120133336</v>
      </c>
      <c r="S78" s="114">
        <f t="shared" si="25"/>
        <v>1109.5301120133336</v>
      </c>
      <c r="T78" s="114">
        <f t="shared" si="25"/>
        <v>1109.5301120133336</v>
      </c>
      <c r="U78" s="114">
        <f t="shared" si="25"/>
        <v>1109.5301120133336</v>
      </c>
      <c r="V78" s="114">
        <f t="shared" si="25"/>
        <v>1109.5301120133336</v>
      </c>
    </row>
    <row r="79" spans="1:22" s="9" customFormat="1" ht="20" customHeight="1" thickBot="1">
      <c r="A79" s="684"/>
      <c r="B79" s="685"/>
      <c r="C79" s="685"/>
      <c r="D79" s="685"/>
      <c r="E79" s="685"/>
      <c r="F79" s="685"/>
      <c r="G79" s="685"/>
      <c r="H79" s="686"/>
      <c r="I79" s="681" t="s">
        <v>182</v>
      </c>
      <c r="J79" s="681"/>
      <c r="K79" s="115">
        <f t="shared" ref="K79:V79" si="26">K74</f>
        <v>121.64959870092592</v>
      </c>
      <c r="L79" s="115">
        <f t="shared" si="26"/>
        <v>121.64959870092592</v>
      </c>
      <c r="M79" s="115">
        <f t="shared" si="26"/>
        <v>121.64959870092592</v>
      </c>
      <c r="N79" s="115">
        <f t="shared" si="26"/>
        <v>121.64959870092592</v>
      </c>
      <c r="O79" s="115">
        <f t="shared" si="26"/>
        <v>121.64959870092592</v>
      </c>
      <c r="P79" s="115">
        <f t="shared" si="26"/>
        <v>121.64959870092592</v>
      </c>
      <c r="Q79" s="115">
        <f t="shared" si="26"/>
        <v>121.64959870092592</v>
      </c>
      <c r="R79" s="115">
        <f t="shared" si="26"/>
        <v>121.64959870092592</v>
      </c>
      <c r="S79" s="115">
        <f t="shared" si="26"/>
        <v>121.64959870092592</v>
      </c>
      <c r="T79" s="115">
        <f t="shared" si="26"/>
        <v>121.64959870092592</v>
      </c>
      <c r="U79" s="115">
        <f t="shared" si="26"/>
        <v>121.64959870092592</v>
      </c>
      <c r="V79" s="115">
        <f t="shared" si="26"/>
        <v>121.64959870092592</v>
      </c>
    </row>
    <row r="80" spans="1:22" s="9" customFormat="1" ht="20" customHeight="1" thickBot="1">
      <c r="A80" s="687"/>
      <c r="B80" s="688"/>
      <c r="C80" s="688"/>
      <c r="D80" s="688"/>
      <c r="E80" s="688"/>
      <c r="F80" s="688"/>
      <c r="G80" s="688"/>
      <c r="H80" s="689"/>
      <c r="I80" s="682" t="s">
        <v>180</v>
      </c>
      <c r="J80" s="683"/>
      <c r="K80" s="116">
        <f t="shared" ref="K80:V80" si="27">SUM(K77:K79)</f>
        <v>2960.2197107142592</v>
      </c>
      <c r="L80" s="116">
        <f t="shared" si="27"/>
        <v>2960.2197107142592</v>
      </c>
      <c r="M80" s="116">
        <f t="shared" si="27"/>
        <v>2960.2197107142592</v>
      </c>
      <c r="N80" s="116">
        <f t="shared" si="27"/>
        <v>2960.2197107142592</v>
      </c>
      <c r="O80" s="116">
        <f t="shared" si="27"/>
        <v>2960.2197107142592</v>
      </c>
      <c r="P80" s="116">
        <f t="shared" si="27"/>
        <v>2960.2197107142592</v>
      </c>
      <c r="Q80" s="116">
        <f t="shared" si="27"/>
        <v>2960.2197107142592</v>
      </c>
      <c r="R80" s="116">
        <f t="shared" si="27"/>
        <v>2960.2197107142592</v>
      </c>
      <c r="S80" s="116">
        <f t="shared" si="27"/>
        <v>2960.2197107142592</v>
      </c>
      <c r="T80" s="116">
        <f t="shared" si="27"/>
        <v>2960.2197107142592</v>
      </c>
      <c r="U80" s="116">
        <f t="shared" si="27"/>
        <v>2960.2197107142592</v>
      </c>
      <c r="V80" s="116">
        <f t="shared" si="27"/>
        <v>2960.2197107142592</v>
      </c>
    </row>
    <row r="81" spans="1:23" ht="20" customHeight="1" thickBot="1">
      <c r="A81" s="676" t="s">
        <v>73</v>
      </c>
      <c r="B81" s="677"/>
      <c r="C81" s="677"/>
      <c r="D81" s="677"/>
      <c r="E81" s="677"/>
      <c r="F81" s="677"/>
      <c r="G81" s="677"/>
      <c r="H81" s="677"/>
      <c r="I81" s="678"/>
      <c r="J81" s="117" t="s">
        <v>35</v>
      </c>
      <c r="K81" s="29" t="s">
        <v>26</v>
      </c>
      <c r="L81" s="29" t="s">
        <v>26</v>
      </c>
      <c r="M81" s="29" t="s">
        <v>26</v>
      </c>
      <c r="N81" s="29" t="s">
        <v>26</v>
      </c>
      <c r="O81" s="29" t="s">
        <v>26</v>
      </c>
      <c r="P81" s="29" t="s">
        <v>26</v>
      </c>
      <c r="Q81" s="29" t="s">
        <v>26</v>
      </c>
      <c r="R81" s="29" t="s">
        <v>26</v>
      </c>
      <c r="S81" s="29" t="s">
        <v>26</v>
      </c>
      <c r="T81" s="29" t="s">
        <v>26</v>
      </c>
      <c r="U81" s="29" t="s">
        <v>26</v>
      </c>
      <c r="V81" s="29" t="s">
        <v>26</v>
      </c>
    </row>
    <row r="82" spans="1:23" ht="20" customHeight="1">
      <c r="A82" s="92" t="s">
        <v>27</v>
      </c>
      <c r="B82" s="610" t="s">
        <v>183</v>
      </c>
      <c r="C82" s="679"/>
      <c r="D82" s="679"/>
      <c r="E82" s="679"/>
      <c r="F82" s="679"/>
      <c r="G82" s="679"/>
      <c r="H82" s="679"/>
      <c r="I82" s="679"/>
      <c r="J82" s="118">
        <v>9.0749999999999997E-2</v>
      </c>
      <c r="K82" s="97">
        <f>ROUND(K80*$J$82,2)</f>
        <v>268.64</v>
      </c>
      <c r="L82" s="97">
        <f t="shared" ref="L82:V82" si="28">ROUND(L80*$J$82,2)</f>
        <v>268.64</v>
      </c>
      <c r="M82" s="97">
        <f t="shared" si="28"/>
        <v>268.64</v>
      </c>
      <c r="N82" s="97">
        <f t="shared" si="28"/>
        <v>268.64</v>
      </c>
      <c r="O82" s="97">
        <f t="shared" si="28"/>
        <v>268.64</v>
      </c>
      <c r="P82" s="97">
        <f t="shared" si="28"/>
        <v>268.64</v>
      </c>
      <c r="Q82" s="97">
        <f t="shared" si="28"/>
        <v>268.64</v>
      </c>
      <c r="R82" s="97">
        <f t="shared" si="28"/>
        <v>268.64</v>
      </c>
      <c r="S82" s="97">
        <f t="shared" si="28"/>
        <v>268.64</v>
      </c>
      <c r="T82" s="97">
        <f t="shared" si="28"/>
        <v>268.64</v>
      </c>
      <c r="U82" s="97">
        <f t="shared" si="28"/>
        <v>268.64</v>
      </c>
      <c r="V82" s="97">
        <f t="shared" si="28"/>
        <v>268.64</v>
      </c>
    </row>
    <row r="83" spans="1:23" ht="20" customHeight="1">
      <c r="A83" s="19" t="s">
        <v>37</v>
      </c>
      <c r="B83" s="487" t="s">
        <v>74</v>
      </c>
      <c r="C83" s="487"/>
      <c r="D83" s="487"/>
      <c r="E83" s="487"/>
      <c r="F83" s="487"/>
      <c r="G83" s="487"/>
      <c r="H83" s="487"/>
      <c r="I83" s="489"/>
      <c r="J83" s="24">
        <f>'Licitante - Mão de Obra'!J65</f>
        <v>8.3333333333333332E-3</v>
      </c>
      <c r="K83" s="98">
        <f t="shared" ref="K83:V83" si="29">(ROUND(K80*$J$83,2))</f>
        <v>24.67</v>
      </c>
      <c r="L83" s="98">
        <f t="shared" si="29"/>
        <v>24.67</v>
      </c>
      <c r="M83" s="98">
        <f t="shared" si="29"/>
        <v>24.67</v>
      </c>
      <c r="N83" s="98">
        <f t="shared" si="29"/>
        <v>24.67</v>
      </c>
      <c r="O83" s="98">
        <f t="shared" si="29"/>
        <v>24.67</v>
      </c>
      <c r="P83" s="98">
        <f t="shared" si="29"/>
        <v>24.67</v>
      </c>
      <c r="Q83" s="98">
        <f t="shared" si="29"/>
        <v>24.67</v>
      </c>
      <c r="R83" s="98">
        <f t="shared" si="29"/>
        <v>24.67</v>
      </c>
      <c r="S83" s="98">
        <f t="shared" si="29"/>
        <v>24.67</v>
      </c>
      <c r="T83" s="98">
        <f t="shared" si="29"/>
        <v>24.67</v>
      </c>
      <c r="U83" s="98">
        <f t="shared" si="29"/>
        <v>24.67</v>
      </c>
      <c r="V83" s="98">
        <f t="shared" si="29"/>
        <v>24.67</v>
      </c>
    </row>
    <row r="84" spans="1:23" ht="20" customHeight="1">
      <c r="A84" s="19" t="s">
        <v>44</v>
      </c>
      <c r="B84" s="487" t="s">
        <v>75</v>
      </c>
      <c r="C84" s="487"/>
      <c r="D84" s="487"/>
      <c r="E84" s="487"/>
      <c r="F84" s="487"/>
      <c r="G84" s="487"/>
      <c r="H84" s="487"/>
      <c r="I84" s="489"/>
      <c r="J84" s="24">
        <f>'Licitante - Mão de Obra'!J66</f>
        <v>1.3888888888888889E-4</v>
      </c>
      <c r="K84" s="98">
        <f t="shared" ref="K84:V84" si="30">ROUND(K80*$J$84,2)</f>
        <v>0.41</v>
      </c>
      <c r="L84" s="98">
        <f t="shared" si="30"/>
        <v>0.41</v>
      </c>
      <c r="M84" s="98">
        <f t="shared" si="30"/>
        <v>0.41</v>
      </c>
      <c r="N84" s="98">
        <f t="shared" si="30"/>
        <v>0.41</v>
      </c>
      <c r="O84" s="98">
        <f t="shared" si="30"/>
        <v>0.41</v>
      </c>
      <c r="P84" s="98">
        <f t="shared" si="30"/>
        <v>0.41</v>
      </c>
      <c r="Q84" s="98">
        <f t="shared" si="30"/>
        <v>0.41</v>
      </c>
      <c r="R84" s="98">
        <f t="shared" si="30"/>
        <v>0.41</v>
      </c>
      <c r="S84" s="98">
        <f t="shared" si="30"/>
        <v>0.41</v>
      </c>
      <c r="T84" s="98">
        <f t="shared" si="30"/>
        <v>0.41</v>
      </c>
      <c r="U84" s="98">
        <f t="shared" si="30"/>
        <v>0.41</v>
      </c>
      <c r="V84" s="98">
        <f t="shared" si="30"/>
        <v>0.41</v>
      </c>
    </row>
    <row r="85" spans="1:23" ht="20" customHeight="1">
      <c r="A85" s="19" t="s">
        <v>30</v>
      </c>
      <c r="B85" s="487" t="s">
        <v>76</v>
      </c>
      <c r="C85" s="487"/>
      <c r="D85" s="487"/>
      <c r="E85" s="487"/>
      <c r="F85" s="487"/>
      <c r="G85" s="487"/>
      <c r="H85" s="487"/>
      <c r="I85" s="489"/>
      <c r="J85" s="24">
        <f>'Licitante - Mão de Obra'!J67</f>
        <v>2.7777777777777779E-3</v>
      </c>
      <c r="K85" s="98">
        <f t="shared" ref="K85:V85" si="31">ROUND(K80*$J$85,2)</f>
        <v>8.2200000000000006</v>
      </c>
      <c r="L85" s="98">
        <f t="shared" si="31"/>
        <v>8.2200000000000006</v>
      </c>
      <c r="M85" s="98">
        <f t="shared" si="31"/>
        <v>8.2200000000000006</v>
      </c>
      <c r="N85" s="98">
        <f t="shared" si="31"/>
        <v>8.2200000000000006</v>
      </c>
      <c r="O85" s="98">
        <f t="shared" si="31"/>
        <v>8.2200000000000006</v>
      </c>
      <c r="P85" s="98">
        <f t="shared" si="31"/>
        <v>8.2200000000000006</v>
      </c>
      <c r="Q85" s="98">
        <f t="shared" si="31"/>
        <v>8.2200000000000006</v>
      </c>
      <c r="R85" s="98">
        <f t="shared" si="31"/>
        <v>8.2200000000000006</v>
      </c>
      <c r="S85" s="98">
        <f t="shared" si="31"/>
        <v>8.2200000000000006</v>
      </c>
      <c r="T85" s="98">
        <f t="shared" si="31"/>
        <v>8.2200000000000006</v>
      </c>
      <c r="U85" s="98">
        <f t="shared" si="31"/>
        <v>8.2200000000000006</v>
      </c>
      <c r="V85" s="98">
        <f t="shared" si="31"/>
        <v>8.2200000000000006</v>
      </c>
    </row>
    <row r="86" spans="1:23" ht="20" customHeight="1">
      <c r="A86" s="19" t="s">
        <v>49</v>
      </c>
      <c r="B86" s="487" t="s">
        <v>77</v>
      </c>
      <c r="C86" s="487"/>
      <c r="D86" s="487"/>
      <c r="E86" s="487"/>
      <c r="F86" s="487"/>
      <c r="G86" s="487"/>
      <c r="H86" s="487"/>
      <c r="I86" s="489"/>
      <c r="J86" s="24">
        <f>'Licitante - Mão de Obra'!J68</f>
        <v>6.6666666666666662E-3</v>
      </c>
      <c r="K86" s="98">
        <f t="shared" ref="K86:V86" si="32">ROUND(K80*$J$86,2)</f>
        <v>19.73</v>
      </c>
      <c r="L86" s="98">
        <f t="shared" si="32"/>
        <v>19.73</v>
      </c>
      <c r="M86" s="98">
        <f t="shared" si="32"/>
        <v>19.73</v>
      </c>
      <c r="N86" s="98">
        <f t="shared" si="32"/>
        <v>19.73</v>
      </c>
      <c r="O86" s="98">
        <f t="shared" si="32"/>
        <v>19.73</v>
      </c>
      <c r="P86" s="98">
        <f t="shared" si="32"/>
        <v>19.73</v>
      </c>
      <c r="Q86" s="98">
        <f t="shared" si="32"/>
        <v>19.73</v>
      </c>
      <c r="R86" s="98">
        <f t="shared" si="32"/>
        <v>19.73</v>
      </c>
      <c r="S86" s="98">
        <f t="shared" si="32"/>
        <v>19.73</v>
      </c>
      <c r="T86" s="98">
        <f t="shared" si="32"/>
        <v>19.73</v>
      </c>
      <c r="U86" s="98">
        <f t="shared" si="32"/>
        <v>19.73</v>
      </c>
      <c r="V86" s="98">
        <f t="shared" si="32"/>
        <v>19.73</v>
      </c>
    </row>
    <row r="87" spans="1:23" ht="20" customHeight="1">
      <c r="A87" s="19" t="s">
        <v>51</v>
      </c>
      <c r="B87" s="487" t="s">
        <v>78</v>
      </c>
      <c r="C87" s="487"/>
      <c r="D87" s="487"/>
      <c r="E87" s="487"/>
      <c r="F87" s="487"/>
      <c r="G87" s="487"/>
      <c r="H87" s="487"/>
      <c r="I87" s="489"/>
      <c r="J87" s="24">
        <f>'Licitante - Mão de Obra'!J69</f>
        <v>8.3333333333333332E-3</v>
      </c>
      <c r="K87" s="98">
        <f t="shared" ref="K87:V87" si="33">ROUND(K80*$J$87,2)</f>
        <v>24.67</v>
      </c>
      <c r="L87" s="98">
        <f t="shared" si="33"/>
        <v>24.67</v>
      </c>
      <c r="M87" s="98">
        <f t="shared" si="33"/>
        <v>24.67</v>
      </c>
      <c r="N87" s="98">
        <f t="shared" si="33"/>
        <v>24.67</v>
      </c>
      <c r="O87" s="98">
        <f t="shared" si="33"/>
        <v>24.67</v>
      </c>
      <c r="P87" s="98">
        <f t="shared" si="33"/>
        <v>24.67</v>
      </c>
      <c r="Q87" s="98">
        <f t="shared" si="33"/>
        <v>24.67</v>
      </c>
      <c r="R87" s="98">
        <f t="shared" si="33"/>
        <v>24.67</v>
      </c>
      <c r="S87" s="98">
        <f t="shared" si="33"/>
        <v>24.67</v>
      </c>
      <c r="T87" s="98">
        <f t="shared" si="33"/>
        <v>24.67</v>
      </c>
      <c r="U87" s="98">
        <f t="shared" si="33"/>
        <v>24.67</v>
      </c>
      <c r="V87" s="98">
        <f t="shared" si="33"/>
        <v>24.67</v>
      </c>
    </row>
    <row r="88" spans="1:23" ht="20" customHeight="1" thickBot="1">
      <c r="A88" s="99" t="s">
        <v>53</v>
      </c>
      <c r="B88" s="488" t="str">
        <f>'Licitante - Mão de Obra'!B70</f>
        <v>Outras Ausências (especificar)</v>
      </c>
      <c r="C88" s="488"/>
      <c r="D88" s="488"/>
      <c r="E88" s="488"/>
      <c r="F88" s="488"/>
      <c r="G88" s="488"/>
      <c r="H88" s="488"/>
      <c r="I88" s="702"/>
      <c r="J88" s="119">
        <f>'Licitante - Mão de Obra'!J70</f>
        <v>0</v>
      </c>
      <c r="K88" s="100">
        <f t="shared" ref="K88:V88" si="34">ROUND(K80*$J$88,2)</f>
        <v>0</v>
      </c>
      <c r="L88" s="100">
        <f t="shared" si="34"/>
        <v>0</v>
      </c>
      <c r="M88" s="100">
        <f t="shared" si="34"/>
        <v>0</v>
      </c>
      <c r="N88" s="100">
        <f t="shared" si="34"/>
        <v>0</v>
      </c>
      <c r="O88" s="100">
        <f t="shared" si="34"/>
        <v>0</v>
      </c>
      <c r="P88" s="100">
        <f t="shared" si="34"/>
        <v>0</v>
      </c>
      <c r="Q88" s="100">
        <f t="shared" si="34"/>
        <v>0</v>
      </c>
      <c r="R88" s="100">
        <f t="shared" si="34"/>
        <v>0</v>
      </c>
      <c r="S88" s="100">
        <f t="shared" si="34"/>
        <v>0</v>
      </c>
      <c r="T88" s="100">
        <f t="shared" si="34"/>
        <v>0</v>
      </c>
      <c r="U88" s="100">
        <f t="shared" si="34"/>
        <v>0</v>
      </c>
      <c r="V88" s="100">
        <f t="shared" si="34"/>
        <v>0</v>
      </c>
    </row>
    <row r="89" spans="1:23" ht="20" customHeight="1" thickBot="1">
      <c r="A89" s="504" t="s">
        <v>80</v>
      </c>
      <c r="B89" s="505"/>
      <c r="C89" s="505"/>
      <c r="D89" s="505"/>
      <c r="E89" s="505"/>
      <c r="F89" s="505"/>
      <c r="G89" s="505"/>
      <c r="H89" s="505"/>
      <c r="I89" s="505"/>
      <c r="J89" s="505"/>
      <c r="K89" s="101">
        <f t="shared" ref="K89:V89" si="35">SUM(K82:K88)</f>
        <v>346.34000000000009</v>
      </c>
      <c r="L89" s="101">
        <f t="shared" si="35"/>
        <v>346.34000000000009</v>
      </c>
      <c r="M89" s="101">
        <f t="shared" si="35"/>
        <v>346.34000000000009</v>
      </c>
      <c r="N89" s="101">
        <f t="shared" si="35"/>
        <v>346.34000000000009</v>
      </c>
      <c r="O89" s="101">
        <f t="shared" si="35"/>
        <v>346.34000000000009</v>
      </c>
      <c r="P89" s="101">
        <f t="shared" si="35"/>
        <v>346.34000000000009</v>
      </c>
      <c r="Q89" s="101">
        <f t="shared" si="35"/>
        <v>346.34000000000009</v>
      </c>
      <c r="R89" s="101">
        <f t="shared" si="35"/>
        <v>346.34000000000009</v>
      </c>
      <c r="S89" s="101">
        <f t="shared" si="35"/>
        <v>346.34000000000009</v>
      </c>
      <c r="T89" s="101">
        <f t="shared" si="35"/>
        <v>346.34000000000009</v>
      </c>
      <c r="U89" s="101">
        <f t="shared" si="35"/>
        <v>346.34000000000009</v>
      </c>
      <c r="V89" s="101">
        <f t="shared" si="35"/>
        <v>346.34000000000009</v>
      </c>
    </row>
    <row r="90" spans="1:23" ht="50" customHeight="1" thickBot="1">
      <c r="A90" s="705" t="s">
        <v>189</v>
      </c>
      <c r="B90" s="706"/>
      <c r="C90" s="706"/>
      <c r="D90" s="706"/>
      <c r="E90" s="706"/>
      <c r="F90" s="706"/>
      <c r="G90" s="706"/>
      <c r="H90" s="706"/>
      <c r="I90" s="706"/>
      <c r="J90" s="706"/>
      <c r="K90" s="707"/>
      <c r="W90" s="269"/>
    </row>
    <row r="91" spans="1:23" ht="20" hidden="1" customHeight="1" thickBot="1">
      <c r="A91" s="708" t="s">
        <v>81</v>
      </c>
      <c r="B91" s="709"/>
      <c r="C91" s="709"/>
      <c r="D91" s="709"/>
      <c r="E91" s="709"/>
      <c r="F91" s="709"/>
      <c r="G91" s="709"/>
      <c r="H91" s="709"/>
      <c r="I91" s="710"/>
      <c r="J91" s="103" t="s">
        <v>35</v>
      </c>
      <c r="K91" s="32" t="s">
        <v>26</v>
      </c>
      <c r="W91" s="269"/>
    </row>
    <row r="92" spans="1:23" ht="20" hidden="1" customHeight="1" thickBot="1">
      <c r="A92" s="102" t="s">
        <v>27</v>
      </c>
      <c r="B92" s="711" t="s">
        <v>82</v>
      </c>
      <c r="C92" s="712"/>
      <c r="D92" s="712"/>
      <c r="E92" s="712"/>
      <c r="F92" s="712"/>
      <c r="G92" s="712"/>
      <c r="H92" s="712"/>
      <c r="I92" s="713"/>
      <c r="J92" s="104">
        <v>0</v>
      </c>
      <c r="K92" s="106">
        <f>J92*$K$29</f>
        <v>0</v>
      </c>
      <c r="W92" s="269"/>
    </row>
    <row r="93" spans="1:23" ht="20" hidden="1" customHeight="1" thickBot="1">
      <c r="A93" s="504" t="s">
        <v>83</v>
      </c>
      <c r="B93" s="505"/>
      <c r="C93" s="505"/>
      <c r="D93" s="505"/>
      <c r="E93" s="505"/>
      <c r="F93" s="505"/>
      <c r="G93" s="505"/>
      <c r="H93" s="505"/>
      <c r="I93" s="714"/>
      <c r="J93" s="105">
        <v>0</v>
      </c>
      <c r="K93" s="107">
        <f>J93*$K$29</f>
        <v>0</v>
      </c>
      <c r="W93" s="269"/>
    </row>
    <row r="94" spans="1:23" ht="20" hidden="1" customHeight="1" thickBot="1">
      <c r="A94" s="703"/>
      <c r="B94" s="704"/>
      <c r="C94" s="704"/>
      <c r="D94" s="704"/>
      <c r="E94" s="704"/>
      <c r="F94" s="704"/>
      <c r="G94" s="704"/>
      <c r="H94" s="704"/>
      <c r="I94" s="704"/>
      <c r="J94" s="704"/>
      <c r="K94" s="704"/>
      <c r="W94" s="269"/>
    </row>
    <row r="95" spans="1:23" ht="20" customHeight="1" thickBot="1">
      <c r="A95" s="456" t="s">
        <v>84</v>
      </c>
      <c r="B95" s="483"/>
      <c r="C95" s="483"/>
      <c r="D95" s="483"/>
      <c r="E95" s="483"/>
      <c r="F95" s="483"/>
      <c r="G95" s="483"/>
      <c r="H95" s="483"/>
      <c r="I95" s="483"/>
      <c r="J95" s="457"/>
      <c r="K95" s="29" t="s">
        <v>26</v>
      </c>
      <c r="L95" s="29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  <c r="S95" s="29" t="s">
        <v>26</v>
      </c>
      <c r="T95" s="29" t="s">
        <v>26</v>
      </c>
      <c r="U95" s="29" t="s">
        <v>26</v>
      </c>
      <c r="V95" s="29" t="s">
        <v>26</v>
      </c>
      <c r="W95" s="299"/>
    </row>
    <row r="96" spans="1:23" ht="20" customHeight="1" thickBot="1">
      <c r="A96" s="16" t="s">
        <v>115</v>
      </c>
      <c r="B96" s="699" t="s">
        <v>85</v>
      </c>
      <c r="C96" s="700"/>
      <c r="D96" s="700"/>
      <c r="E96" s="700"/>
      <c r="F96" s="700"/>
      <c r="G96" s="700"/>
      <c r="H96" s="700"/>
      <c r="I96" s="700"/>
      <c r="J96" s="701"/>
      <c r="K96" s="48">
        <f t="shared" ref="K96:V96" si="36">K89</f>
        <v>346.34000000000009</v>
      </c>
      <c r="L96" s="48">
        <f t="shared" si="36"/>
        <v>346.34000000000009</v>
      </c>
      <c r="M96" s="48">
        <f t="shared" si="36"/>
        <v>346.34000000000009</v>
      </c>
      <c r="N96" s="48">
        <f t="shared" si="36"/>
        <v>346.34000000000009</v>
      </c>
      <c r="O96" s="48">
        <f t="shared" si="36"/>
        <v>346.34000000000009</v>
      </c>
      <c r="P96" s="48">
        <f t="shared" si="36"/>
        <v>346.34000000000009</v>
      </c>
      <c r="Q96" s="48">
        <f t="shared" si="36"/>
        <v>346.34000000000009</v>
      </c>
      <c r="R96" s="48">
        <f t="shared" si="36"/>
        <v>346.34000000000009</v>
      </c>
      <c r="S96" s="48">
        <f t="shared" si="36"/>
        <v>346.34000000000009</v>
      </c>
      <c r="T96" s="48">
        <f t="shared" si="36"/>
        <v>346.34000000000009</v>
      </c>
      <c r="U96" s="48">
        <f t="shared" si="36"/>
        <v>346.34000000000009</v>
      </c>
      <c r="V96" s="48">
        <f t="shared" si="36"/>
        <v>346.34000000000009</v>
      </c>
      <c r="W96" s="300"/>
    </row>
    <row r="97" spans="1:23" ht="20" customHeight="1" thickBot="1">
      <c r="A97" s="16" t="s">
        <v>190</v>
      </c>
      <c r="B97" s="699" t="s">
        <v>86</v>
      </c>
      <c r="C97" s="700"/>
      <c r="D97" s="700"/>
      <c r="E97" s="700"/>
      <c r="F97" s="700"/>
      <c r="G97" s="700"/>
      <c r="H97" s="700"/>
      <c r="I97" s="700"/>
      <c r="J97" s="701"/>
      <c r="K97" s="50">
        <f t="shared" ref="K97:V97" si="37">K93</f>
        <v>0</v>
      </c>
      <c r="L97" s="50">
        <f t="shared" si="37"/>
        <v>0</v>
      </c>
      <c r="M97" s="50">
        <f t="shared" si="37"/>
        <v>0</v>
      </c>
      <c r="N97" s="50">
        <f t="shared" si="37"/>
        <v>0</v>
      </c>
      <c r="O97" s="50">
        <f t="shared" si="37"/>
        <v>0</v>
      </c>
      <c r="P97" s="50">
        <f t="shared" si="37"/>
        <v>0</v>
      </c>
      <c r="Q97" s="50">
        <f t="shared" si="37"/>
        <v>0</v>
      </c>
      <c r="R97" s="50">
        <f t="shared" si="37"/>
        <v>0</v>
      </c>
      <c r="S97" s="50">
        <f t="shared" si="37"/>
        <v>0</v>
      </c>
      <c r="T97" s="50">
        <f t="shared" si="37"/>
        <v>0</v>
      </c>
      <c r="U97" s="50">
        <f t="shared" si="37"/>
        <v>0</v>
      </c>
      <c r="V97" s="50">
        <f t="shared" si="37"/>
        <v>0</v>
      </c>
      <c r="W97" s="300"/>
    </row>
    <row r="98" spans="1:23" ht="20" customHeight="1" thickBot="1">
      <c r="A98" s="618" t="s">
        <v>87</v>
      </c>
      <c r="B98" s="619"/>
      <c r="C98" s="619"/>
      <c r="D98" s="619"/>
      <c r="E98" s="619"/>
      <c r="F98" s="619"/>
      <c r="G98" s="619"/>
      <c r="H98" s="619"/>
      <c r="I98" s="619"/>
      <c r="J98" s="695"/>
      <c r="K98" s="51">
        <f t="shared" ref="K98:V98" si="38">SUM(K96:K97)</f>
        <v>346.34000000000009</v>
      </c>
      <c r="L98" s="51">
        <f t="shared" si="38"/>
        <v>346.34000000000009</v>
      </c>
      <c r="M98" s="51">
        <f t="shared" si="38"/>
        <v>346.34000000000009</v>
      </c>
      <c r="N98" s="51">
        <f t="shared" si="38"/>
        <v>346.34000000000009</v>
      </c>
      <c r="O98" s="51">
        <f t="shared" si="38"/>
        <v>346.34000000000009</v>
      </c>
      <c r="P98" s="51">
        <f t="shared" si="38"/>
        <v>346.34000000000009</v>
      </c>
      <c r="Q98" s="51">
        <f t="shared" si="38"/>
        <v>346.34000000000009</v>
      </c>
      <c r="R98" s="51">
        <f t="shared" si="38"/>
        <v>346.34000000000009</v>
      </c>
      <c r="S98" s="51">
        <f t="shared" si="38"/>
        <v>346.34000000000009</v>
      </c>
      <c r="T98" s="51">
        <f t="shared" si="38"/>
        <v>346.34000000000009</v>
      </c>
      <c r="U98" s="51">
        <f t="shared" si="38"/>
        <v>346.34000000000009</v>
      </c>
      <c r="V98" s="51">
        <f t="shared" si="38"/>
        <v>346.34000000000009</v>
      </c>
      <c r="W98" s="301"/>
    </row>
    <row r="99" spans="1:23" ht="29.5" thickBot="1">
      <c r="A99" s="324"/>
      <c r="B99" s="324"/>
      <c r="C99" s="324"/>
      <c r="D99" s="324"/>
      <c r="E99" s="324"/>
      <c r="F99" s="324"/>
      <c r="G99" s="324"/>
      <c r="H99" s="324"/>
      <c r="I99" s="324"/>
      <c r="J99" s="324"/>
      <c r="K99" s="303" t="s">
        <v>359</v>
      </c>
      <c r="L99" s="303" t="s">
        <v>360</v>
      </c>
      <c r="M99" s="303" t="s">
        <v>361</v>
      </c>
      <c r="N99" s="303" t="s">
        <v>362</v>
      </c>
      <c r="O99" s="353" t="s">
        <v>370</v>
      </c>
      <c r="P99" s="303" t="s">
        <v>371</v>
      </c>
      <c r="Q99" s="303" t="s">
        <v>372</v>
      </c>
      <c r="R99" s="303" t="s">
        <v>365</v>
      </c>
      <c r="S99" s="303" t="s">
        <v>366</v>
      </c>
      <c r="T99" s="303" t="s">
        <v>367</v>
      </c>
      <c r="U99" s="303" t="s">
        <v>368</v>
      </c>
      <c r="V99" s="303" t="s">
        <v>369</v>
      </c>
      <c r="W99" s="269"/>
    </row>
    <row r="100" spans="1:23" s="9" customFormat="1" ht="20" customHeight="1" thickBot="1">
      <c r="A100" s="541" t="s">
        <v>88</v>
      </c>
      <c r="B100" s="444"/>
      <c r="C100" s="444"/>
      <c r="D100" s="444"/>
      <c r="E100" s="444"/>
      <c r="F100" s="444"/>
      <c r="G100" s="444"/>
      <c r="H100" s="444"/>
      <c r="I100" s="444"/>
      <c r="J100" s="444"/>
      <c r="K100" s="29" t="s">
        <v>26</v>
      </c>
      <c r="L100" s="29" t="s">
        <v>26</v>
      </c>
      <c r="M100" s="29" t="s">
        <v>26</v>
      </c>
      <c r="N100" s="29" t="s">
        <v>26</v>
      </c>
      <c r="O100" s="29" t="s">
        <v>26</v>
      </c>
      <c r="P100" s="29" t="s">
        <v>26</v>
      </c>
      <c r="Q100" s="29" t="s">
        <v>26</v>
      </c>
      <c r="R100" s="29" t="s">
        <v>26</v>
      </c>
      <c r="S100" s="29" t="s">
        <v>26</v>
      </c>
      <c r="T100" s="29" t="s">
        <v>26</v>
      </c>
      <c r="U100" s="29" t="s">
        <v>26</v>
      </c>
      <c r="V100" s="29" t="s">
        <v>26</v>
      </c>
      <c r="W100" s="269"/>
    </row>
    <row r="101" spans="1:23" ht="20" customHeight="1">
      <c r="A101" s="16" t="s">
        <v>27</v>
      </c>
      <c r="B101" s="485" t="s">
        <v>89</v>
      </c>
      <c r="C101" s="485"/>
      <c r="D101" s="485"/>
      <c r="E101" s="485"/>
      <c r="F101" s="485"/>
      <c r="G101" s="485"/>
      <c r="H101" s="485"/>
      <c r="I101" s="485"/>
      <c r="J101" s="486"/>
      <c r="K101" s="205">
        <f>'Licitante - Mão de Obra'!$J$87</f>
        <v>143.61000000000001</v>
      </c>
      <c r="L101" s="205">
        <f>'Licitante - Mão de Obra'!$J$87</f>
        <v>143.61000000000001</v>
      </c>
      <c r="M101" s="205">
        <f>'Licitante - Mão de Obra'!$J$87</f>
        <v>143.61000000000001</v>
      </c>
      <c r="N101" s="205">
        <f>'Licitante - Mão de Obra'!$J$87</f>
        <v>143.61000000000001</v>
      </c>
      <c r="O101" s="205">
        <f>'Licitante - Mão de Obra'!$J$87</f>
        <v>143.61000000000001</v>
      </c>
      <c r="P101" s="205">
        <f>'Licitante - Mão de Obra'!$J$87</f>
        <v>143.61000000000001</v>
      </c>
      <c r="Q101" s="205">
        <f>'Licitante - Mão de Obra'!$J$87</f>
        <v>143.61000000000001</v>
      </c>
      <c r="R101" s="205">
        <f>'Licitante - Mão de Obra'!$J$87</f>
        <v>143.61000000000001</v>
      </c>
      <c r="S101" s="205">
        <f>'Licitante - Mão de Obra'!$J$87</f>
        <v>143.61000000000001</v>
      </c>
      <c r="T101" s="205">
        <f>'Licitante - Mão de Obra'!$J$87</f>
        <v>143.61000000000001</v>
      </c>
      <c r="U101" s="205">
        <f>'Licitante - Mão de Obra'!$J$87</f>
        <v>143.61000000000001</v>
      </c>
      <c r="V101" s="205">
        <f>'Licitante - Mão de Obra'!$J$87</f>
        <v>143.61000000000001</v>
      </c>
    </row>
    <row r="102" spans="1:23" ht="20" customHeight="1">
      <c r="A102" s="14" t="s">
        <v>37</v>
      </c>
      <c r="B102" s="487" t="s">
        <v>90</v>
      </c>
      <c r="C102" s="487"/>
      <c r="D102" s="487"/>
      <c r="E102" s="487"/>
      <c r="F102" s="487"/>
      <c r="G102" s="487"/>
      <c r="H102" s="487"/>
      <c r="I102" s="487"/>
      <c r="J102" s="489"/>
      <c r="K102" s="125">
        <f>'Licitante - Mão de Obra'!I112</f>
        <v>74.400722222222228</v>
      </c>
      <c r="L102" s="125">
        <f>'Licitante - Mão de Obra'!K112</f>
        <v>46.248222222222225</v>
      </c>
      <c r="M102" s="125">
        <f>'Licitante - Mão de Obra'!M112</f>
        <v>16.458611111111111</v>
      </c>
      <c r="N102" s="125">
        <f>'Licitante - Mão de Obra'!O112</f>
        <v>160.732</v>
      </c>
      <c r="O102" s="125">
        <f>'Licitante - Mão de Obra'!Q112</f>
        <v>52.936277777777775</v>
      </c>
      <c r="P102" s="125">
        <f>'Licitante - Mão de Obra'!S112</f>
        <v>177.5613888888889</v>
      </c>
      <c r="Q102" s="125">
        <f>'Licitante - Mão de Obra'!U112</f>
        <v>115.89166666666668</v>
      </c>
      <c r="R102" s="125">
        <f>'Licitante - Mão de Obra'!W112</f>
        <v>42.017638888888882</v>
      </c>
      <c r="S102" s="125">
        <f>'Licitante - Mão de Obra'!Y112</f>
        <v>407.78988888888881</v>
      </c>
      <c r="T102" s="125">
        <f>'Licitante - Mão de Obra'!AA112</f>
        <v>313.14844444444446</v>
      </c>
      <c r="U102" s="125">
        <f>'Licitante - Mão de Obra'!AC112</f>
        <v>91.747425925925924</v>
      </c>
      <c r="V102" s="125">
        <f>'Licitante - Mão de Obra'!AE112</f>
        <v>121.26972222222221</v>
      </c>
    </row>
    <row r="103" spans="1:23" ht="20" customHeight="1" thickBot="1">
      <c r="A103" s="22" t="s">
        <v>44</v>
      </c>
      <c r="B103" s="488" t="s">
        <v>91</v>
      </c>
      <c r="C103" s="488"/>
      <c r="D103" s="488"/>
      <c r="E103" s="488"/>
      <c r="F103" s="488"/>
      <c r="G103" s="488"/>
      <c r="H103" s="488"/>
      <c r="I103" s="488"/>
      <c r="J103" s="702"/>
      <c r="K103" s="206"/>
      <c r="L103" s="206"/>
      <c r="M103" s="206"/>
      <c r="N103" s="206"/>
      <c r="O103" s="206"/>
      <c r="P103" s="206"/>
      <c r="Q103" s="206"/>
      <c r="R103" s="206"/>
      <c r="S103" s="206"/>
      <c r="T103" s="206"/>
      <c r="U103" s="206"/>
      <c r="V103" s="206"/>
    </row>
    <row r="104" spans="1:23" ht="20" customHeight="1" thickBot="1">
      <c r="A104" s="618" t="s">
        <v>92</v>
      </c>
      <c r="B104" s="619"/>
      <c r="C104" s="619"/>
      <c r="D104" s="619"/>
      <c r="E104" s="619"/>
      <c r="F104" s="619"/>
      <c r="G104" s="619"/>
      <c r="H104" s="619"/>
      <c r="I104" s="619"/>
      <c r="J104" s="620"/>
      <c r="K104" s="134">
        <f t="shared" ref="K104:V104" si="39">SUM(K101:K103)</f>
        <v>218.01072222222223</v>
      </c>
      <c r="L104" s="134">
        <f t="shared" si="39"/>
        <v>189.85822222222225</v>
      </c>
      <c r="M104" s="134">
        <f t="shared" si="39"/>
        <v>160.06861111111112</v>
      </c>
      <c r="N104" s="134">
        <f t="shared" si="39"/>
        <v>304.34199999999998</v>
      </c>
      <c r="O104" s="134">
        <f t="shared" si="39"/>
        <v>196.54627777777779</v>
      </c>
      <c r="P104" s="134">
        <f t="shared" si="39"/>
        <v>321.17138888888894</v>
      </c>
      <c r="Q104" s="134">
        <f t="shared" si="39"/>
        <v>259.50166666666667</v>
      </c>
      <c r="R104" s="134">
        <f t="shared" si="39"/>
        <v>185.6276388888889</v>
      </c>
      <c r="S104" s="134">
        <f t="shared" si="39"/>
        <v>551.39988888888888</v>
      </c>
      <c r="T104" s="134">
        <f t="shared" si="39"/>
        <v>456.75844444444448</v>
      </c>
      <c r="U104" s="134">
        <f t="shared" si="39"/>
        <v>235.35742592592595</v>
      </c>
      <c r="V104" s="134">
        <f t="shared" si="39"/>
        <v>264.8797222222222</v>
      </c>
    </row>
    <row r="105" spans="1:23" ht="15" thickBot="1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60"/>
    </row>
    <row r="106" spans="1:23" ht="20" customHeight="1" thickBot="1">
      <c r="A106" s="541" t="s">
        <v>93</v>
      </c>
      <c r="B106" s="444"/>
      <c r="C106" s="444"/>
      <c r="D106" s="444"/>
      <c r="E106" s="444"/>
      <c r="F106" s="444"/>
      <c r="G106" s="444"/>
      <c r="H106" s="444"/>
      <c r="I106" s="444"/>
      <c r="J106" s="444"/>
      <c r="K106" s="445"/>
    </row>
    <row r="107" spans="1:23" s="9" customFormat="1" ht="20" customHeight="1" thickBot="1">
      <c r="A107" s="666"/>
      <c r="B107" s="667"/>
      <c r="C107" s="667"/>
      <c r="D107" s="667"/>
      <c r="E107" s="667"/>
      <c r="F107" s="667"/>
      <c r="G107" s="667"/>
      <c r="H107" s="667"/>
      <c r="I107" s="668"/>
      <c r="J107" s="127" t="s">
        <v>35</v>
      </c>
      <c r="K107" s="177" t="s">
        <v>26</v>
      </c>
      <c r="L107" s="29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  <c r="Q107" s="29" t="s">
        <v>26</v>
      </c>
      <c r="R107" s="29" t="s">
        <v>26</v>
      </c>
      <c r="S107" s="29" t="s">
        <v>26</v>
      </c>
      <c r="T107" s="29" t="s">
        <v>26</v>
      </c>
      <c r="U107" s="29" t="s">
        <v>26</v>
      </c>
      <c r="V107" s="29" t="s">
        <v>26</v>
      </c>
    </row>
    <row r="108" spans="1:23" ht="20" customHeight="1">
      <c r="A108" s="120" t="s">
        <v>27</v>
      </c>
      <c r="B108" s="487" t="s">
        <v>94</v>
      </c>
      <c r="C108" s="487"/>
      <c r="D108" s="487"/>
      <c r="E108" s="487"/>
      <c r="F108" s="487"/>
      <c r="G108" s="487"/>
      <c r="H108" s="487"/>
      <c r="I108" s="487"/>
      <c r="J108" s="96">
        <f>'Licitante - Mão de Obra'!J115</f>
        <v>0.05</v>
      </c>
      <c r="K108" s="125">
        <f t="shared" ref="K108:V108" si="40">ROUND($J$108*K123,2)</f>
        <v>230.91</v>
      </c>
      <c r="L108" s="125">
        <f t="shared" si="40"/>
        <v>229.5</v>
      </c>
      <c r="M108" s="205">
        <f t="shared" si="40"/>
        <v>228.01</v>
      </c>
      <c r="N108" s="205">
        <f t="shared" si="40"/>
        <v>235.23</v>
      </c>
      <c r="O108" s="205">
        <f t="shared" si="40"/>
        <v>229.84</v>
      </c>
      <c r="P108" s="205">
        <f t="shared" si="40"/>
        <v>236.07</v>
      </c>
      <c r="Q108" s="205">
        <f t="shared" si="40"/>
        <v>232.99</v>
      </c>
      <c r="R108" s="205">
        <f t="shared" si="40"/>
        <v>229.29</v>
      </c>
      <c r="S108" s="205">
        <f t="shared" si="40"/>
        <v>238.32</v>
      </c>
      <c r="T108" s="205">
        <f t="shared" si="40"/>
        <v>233.59</v>
      </c>
      <c r="U108" s="205">
        <f t="shared" si="40"/>
        <v>221.86</v>
      </c>
      <c r="V108" s="205">
        <f t="shared" si="40"/>
        <v>222.89</v>
      </c>
    </row>
    <row r="109" spans="1:23" ht="20" customHeight="1">
      <c r="A109" s="120" t="s">
        <v>37</v>
      </c>
      <c r="B109" s="487" t="s">
        <v>95</v>
      </c>
      <c r="C109" s="487"/>
      <c r="D109" s="487"/>
      <c r="E109" s="487"/>
      <c r="F109" s="487"/>
      <c r="G109" s="487"/>
      <c r="H109" s="487"/>
      <c r="I109" s="487"/>
      <c r="J109" s="96">
        <f>'Licitante - Mão de Obra'!J116</f>
        <v>0.05</v>
      </c>
      <c r="K109" s="125">
        <f t="shared" ref="K109:V109" si="41">ROUND((K123+K108)*$J$109,2)</f>
        <v>242.46</v>
      </c>
      <c r="L109" s="125">
        <f t="shared" si="41"/>
        <v>240.98</v>
      </c>
      <c r="M109" s="125">
        <f t="shared" si="41"/>
        <v>239.41</v>
      </c>
      <c r="N109" s="125">
        <f t="shared" si="41"/>
        <v>246.99</v>
      </c>
      <c r="O109" s="125">
        <f t="shared" si="41"/>
        <v>241.33</v>
      </c>
      <c r="P109" s="125">
        <f t="shared" si="41"/>
        <v>247.87</v>
      </c>
      <c r="Q109" s="125">
        <f t="shared" si="41"/>
        <v>244.63</v>
      </c>
      <c r="R109" s="125">
        <f t="shared" si="41"/>
        <v>240.76</v>
      </c>
      <c r="S109" s="125">
        <f t="shared" si="41"/>
        <v>250.23</v>
      </c>
      <c r="T109" s="125">
        <f t="shared" si="41"/>
        <v>245.27</v>
      </c>
      <c r="U109" s="125">
        <f t="shared" si="41"/>
        <v>232.95</v>
      </c>
      <c r="V109" s="125">
        <f t="shared" si="41"/>
        <v>234.04</v>
      </c>
    </row>
    <row r="110" spans="1:23" ht="20" customHeight="1">
      <c r="A110" s="120" t="s">
        <v>44</v>
      </c>
      <c r="B110" s="469" t="s">
        <v>191</v>
      </c>
      <c r="C110" s="470"/>
      <c r="D110" s="470"/>
      <c r="E110" s="470"/>
      <c r="F110" s="470"/>
      <c r="G110" s="470"/>
      <c r="H110" s="470"/>
      <c r="I110" s="470"/>
      <c r="J110" s="470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</row>
    <row r="111" spans="1:23" ht="20" customHeight="1">
      <c r="A111" s="121"/>
      <c r="B111" s="46" t="s">
        <v>98</v>
      </c>
      <c r="C111" s="615" t="s">
        <v>99</v>
      </c>
      <c r="D111" s="615"/>
      <c r="E111" s="615"/>
      <c r="F111" s="615"/>
      <c r="G111" s="615"/>
      <c r="H111" s="615"/>
      <c r="I111" s="615"/>
      <c r="J111" s="96">
        <f>'Licitante - Mão de Obra'!F118</f>
        <v>1.6500000000000001E-2</v>
      </c>
      <c r="K111" s="125">
        <f t="shared" ref="K111:V111" si="42">ROUND((K123+K108+K109)*$J$111,2)</f>
        <v>84.01</v>
      </c>
      <c r="L111" s="125">
        <f t="shared" si="42"/>
        <v>83.5</v>
      </c>
      <c r="M111" s="125">
        <f t="shared" si="42"/>
        <v>82.96</v>
      </c>
      <c r="N111" s="125">
        <f t="shared" si="42"/>
        <v>85.58</v>
      </c>
      <c r="O111" s="125">
        <f t="shared" si="42"/>
        <v>83.62</v>
      </c>
      <c r="P111" s="125">
        <f t="shared" si="42"/>
        <v>85.89</v>
      </c>
      <c r="Q111" s="125">
        <f t="shared" si="42"/>
        <v>84.77</v>
      </c>
      <c r="R111" s="125">
        <f t="shared" si="42"/>
        <v>83.42</v>
      </c>
      <c r="S111" s="125">
        <f t="shared" si="42"/>
        <v>86.71</v>
      </c>
      <c r="T111" s="125">
        <f t="shared" si="42"/>
        <v>84.98</v>
      </c>
      <c r="U111" s="125">
        <f t="shared" si="42"/>
        <v>80.72</v>
      </c>
      <c r="V111" s="125">
        <f t="shared" si="42"/>
        <v>81.09</v>
      </c>
    </row>
    <row r="112" spans="1:23" ht="20" customHeight="1">
      <c r="A112" s="121"/>
      <c r="B112" s="46" t="s">
        <v>100</v>
      </c>
      <c r="C112" s="615" t="s">
        <v>101</v>
      </c>
      <c r="D112" s="615"/>
      <c r="E112" s="615" t="str">
        <f>'Licitante - Mão de Obra'!E119</f>
        <v>COFINS</v>
      </c>
      <c r="F112" s="615" t="e">
        <f>#REF!*E112</f>
        <v>#REF!</v>
      </c>
      <c r="G112" s="615"/>
      <c r="H112" s="615"/>
      <c r="I112" s="615"/>
      <c r="J112" s="96">
        <f>'Licitante - Mão de Obra'!F119</f>
        <v>7.5999999999999998E-2</v>
      </c>
      <c r="K112" s="125">
        <f t="shared" ref="K112:V112" si="43">ROUND((K123+K108+K109)*$J$112,2)</f>
        <v>386.96</v>
      </c>
      <c r="L112" s="125">
        <f t="shared" si="43"/>
        <v>384.6</v>
      </c>
      <c r="M112" s="125">
        <f t="shared" si="43"/>
        <v>382.1</v>
      </c>
      <c r="N112" s="125">
        <f t="shared" si="43"/>
        <v>394.19</v>
      </c>
      <c r="O112" s="125">
        <f t="shared" si="43"/>
        <v>385.16</v>
      </c>
      <c r="P112" s="125">
        <f t="shared" si="43"/>
        <v>395.6</v>
      </c>
      <c r="Q112" s="125">
        <f t="shared" si="43"/>
        <v>390.44</v>
      </c>
      <c r="R112" s="125">
        <f t="shared" si="43"/>
        <v>384.25</v>
      </c>
      <c r="S112" s="125">
        <f t="shared" si="43"/>
        <v>399.37</v>
      </c>
      <c r="T112" s="125">
        <f t="shared" si="43"/>
        <v>391.44</v>
      </c>
      <c r="U112" s="125">
        <f t="shared" si="43"/>
        <v>371.79</v>
      </c>
      <c r="V112" s="125">
        <f t="shared" si="43"/>
        <v>373.52</v>
      </c>
    </row>
    <row r="113" spans="1:22" s="9" customFormat="1" ht="20" customHeight="1" thickBot="1">
      <c r="A113" s="122"/>
      <c r="B113" s="123" t="s">
        <v>102</v>
      </c>
      <c r="C113" s="615" t="s">
        <v>325</v>
      </c>
      <c r="D113" s="615"/>
      <c r="E113" s="615" t="str">
        <f>'Licitante - Mão de Obra'!E120</f>
        <v>ISSQN</v>
      </c>
      <c r="F113" s="615" t="e">
        <f>#REF!*E113</f>
        <v>#REF!</v>
      </c>
      <c r="G113" s="615"/>
      <c r="H113" s="615"/>
      <c r="I113" s="615"/>
      <c r="J113" s="124"/>
      <c r="K113" s="125">
        <f>ROUND((K123+K108+K109)*'Licitante - Mão de Obra'!F120,2)</f>
        <v>101.83</v>
      </c>
      <c r="L113" s="125">
        <f>ROUND((L123+L108+L109)*'Licitante - Mão de Obra'!F120,2)</f>
        <v>101.21</v>
      </c>
      <c r="M113" s="125">
        <f>ROUND((M123+M108+M109)*'Licitante - Mão de Obra'!F120,2)</f>
        <v>100.55</v>
      </c>
      <c r="N113" s="125">
        <f>ROUND((N123+N108+N109)*'Licitante - Mão de Obra'!F120,2)</f>
        <v>103.74</v>
      </c>
      <c r="O113" s="125">
        <f>ROUND((O123+O108+O109)*'Licitante - Mão de Obra'!F120,2)</f>
        <v>101.36</v>
      </c>
      <c r="P113" s="125">
        <f>ROUND((P123+P108+P109)*'Licitante - Mão de Obra'!F120,2)</f>
        <v>104.11</v>
      </c>
      <c r="Q113" s="125">
        <f>ROUND((Q123+Q108+Q109)*'Licitante - Mão de Obra'!F120,2)</f>
        <v>102.75</v>
      </c>
      <c r="R113" s="125">
        <f>ROUND((R123+R108+R109)*'Licitante - Mão de Obra'!F120,2)</f>
        <v>101.12</v>
      </c>
      <c r="S113" s="125">
        <f>ROUND((S123+S108+S109)*'Licitante - Mão de Obra'!F122,2)</f>
        <v>157.65</v>
      </c>
      <c r="T113" s="125">
        <f>ROUND((T123+T108+T109)*'Licitante - Mão de Obra'!F122,2)</f>
        <v>154.52000000000001</v>
      </c>
      <c r="U113" s="125">
        <f>ROUND((U123+U108+U109)*'Licitante - Mão de Obra'!F121,2)</f>
        <v>244.6</v>
      </c>
      <c r="V113" s="125">
        <f>ROUND((V123+V108+V109)*'Licitante - Mão de Obra'!F123,2)</f>
        <v>147.44</v>
      </c>
    </row>
    <row r="114" spans="1:22" ht="20" customHeight="1" thickBot="1">
      <c r="A114" s="669" t="s">
        <v>104</v>
      </c>
      <c r="B114" s="670"/>
      <c r="C114" s="670"/>
      <c r="D114" s="670"/>
      <c r="E114" s="670"/>
      <c r="F114" s="670"/>
      <c r="G114" s="670"/>
      <c r="H114" s="670"/>
      <c r="I114" s="670"/>
      <c r="J114" s="671"/>
      <c r="K114" s="134">
        <f t="shared" ref="K114:V114" si="44">SUM(K108,K109,K111,K112,K113)</f>
        <v>1046.1699999999998</v>
      </c>
      <c r="L114" s="134">
        <f t="shared" si="44"/>
        <v>1039.79</v>
      </c>
      <c r="M114" s="134">
        <f t="shared" si="44"/>
        <v>1033.03</v>
      </c>
      <c r="N114" s="134">
        <f t="shared" si="44"/>
        <v>1065.73</v>
      </c>
      <c r="O114" s="134">
        <f t="shared" si="44"/>
        <v>1041.31</v>
      </c>
      <c r="P114" s="134">
        <f t="shared" si="44"/>
        <v>1069.54</v>
      </c>
      <c r="Q114" s="134">
        <f t="shared" si="44"/>
        <v>1055.58</v>
      </c>
      <c r="R114" s="134">
        <f t="shared" si="44"/>
        <v>1038.8399999999999</v>
      </c>
      <c r="S114" s="134">
        <f t="shared" si="44"/>
        <v>1132.28</v>
      </c>
      <c r="T114" s="134">
        <f t="shared" si="44"/>
        <v>1109.8</v>
      </c>
      <c r="U114" s="134">
        <f t="shared" si="44"/>
        <v>1151.9199999999998</v>
      </c>
      <c r="V114" s="134">
        <f t="shared" si="44"/>
        <v>1058.98</v>
      </c>
    </row>
    <row r="115" spans="1:22" ht="20" customHeight="1" thickBot="1">
      <c r="A115" s="672"/>
      <c r="B115" s="672"/>
      <c r="C115" s="672"/>
      <c r="D115" s="672"/>
      <c r="E115" s="672"/>
      <c r="F115" s="672"/>
      <c r="G115" s="672"/>
      <c r="H115" s="672"/>
      <c r="I115" s="672"/>
      <c r="J115" s="672"/>
      <c r="K115" s="60"/>
    </row>
    <row r="116" spans="1:22" s="133" customFormat="1" ht="36" customHeight="1" thickBot="1">
      <c r="A116" s="793" t="s">
        <v>105</v>
      </c>
      <c r="B116" s="794"/>
      <c r="C116" s="794"/>
      <c r="D116" s="794"/>
      <c r="E116" s="794"/>
      <c r="F116" s="794"/>
      <c r="G116" s="794"/>
      <c r="H116" s="794"/>
      <c r="I116" s="794"/>
      <c r="J116" s="794"/>
      <c r="K116" s="303" t="s">
        <v>359</v>
      </c>
      <c r="L116" s="303" t="s">
        <v>360</v>
      </c>
      <c r="M116" s="303" t="s">
        <v>361</v>
      </c>
      <c r="N116" s="303" t="s">
        <v>362</v>
      </c>
      <c r="O116" s="353" t="s">
        <v>370</v>
      </c>
      <c r="P116" s="303" t="s">
        <v>371</v>
      </c>
      <c r="Q116" s="303" t="s">
        <v>372</v>
      </c>
      <c r="R116" s="303" t="s">
        <v>365</v>
      </c>
      <c r="S116" s="303" t="s">
        <v>366</v>
      </c>
      <c r="T116" s="303" t="s">
        <v>367</v>
      </c>
      <c r="U116" s="303" t="s">
        <v>368</v>
      </c>
      <c r="V116" s="303" t="s">
        <v>369</v>
      </c>
    </row>
    <row r="117" spans="1:22" s="133" customFormat="1" ht="20" customHeight="1" thickBot="1">
      <c r="A117" s="676" t="s">
        <v>106</v>
      </c>
      <c r="B117" s="677"/>
      <c r="C117" s="677"/>
      <c r="D117" s="677"/>
      <c r="E117" s="677"/>
      <c r="F117" s="677"/>
      <c r="G117" s="677"/>
      <c r="H117" s="677"/>
      <c r="I117" s="677"/>
      <c r="J117" s="678"/>
      <c r="K117" s="198" t="s">
        <v>26</v>
      </c>
      <c r="L117" s="198" t="s">
        <v>26</v>
      </c>
      <c r="M117" s="198" t="s">
        <v>26</v>
      </c>
      <c r="N117" s="198" t="s">
        <v>26</v>
      </c>
      <c r="O117" s="198" t="s">
        <v>26</v>
      </c>
      <c r="P117" s="198" t="s">
        <v>26</v>
      </c>
      <c r="Q117" s="198" t="s">
        <v>26</v>
      </c>
      <c r="R117" s="198" t="s">
        <v>26</v>
      </c>
      <c r="S117" s="198" t="s">
        <v>26</v>
      </c>
      <c r="T117" s="198" t="s">
        <v>26</v>
      </c>
      <c r="U117" s="198" t="s">
        <v>26</v>
      </c>
      <c r="V117" s="198" t="s">
        <v>26</v>
      </c>
    </row>
    <row r="118" spans="1:22" s="133" customFormat="1" ht="20" customHeight="1">
      <c r="A118" s="715" t="s">
        <v>107</v>
      </c>
      <c r="B118" s="716"/>
      <c r="C118" s="716"/>
      <c r="D118" s="716"/>
      <c r="E118" s="716"/>
      <c r="F118" s="716"/>
      <c r="G118" s="716"/>
      <c r="H118" s="716"/>
      <c r="I118" s="716"/>
      <c r="J118" s="717"/>
      <c r="K118" s="199">
        <f t="shared" ref="K118:V118" si="45">$K$29</f>
        <v>1729.04</v>
      </c>
      <c r="L118" s="199">
        <f t="shared" si="45"/>
        <v>1729.04</v>
      </c>
      <c r="M118" s="199">
        <f t="shared" si="45"/>
        <v>1729.04</v>
      </c>
      <c r="N118" s="199">
        <f t="shared" si="45"/>
        <v>1729.04</v>
      </c>
      <c r="O118" s="199">
        <f t="shared" si="45"/>
        <v>1729.04</v>
      </c>
      <c r="P118" s="199">
        <f t="shared" si="45"/>
        <v>1729.04</v>
      </c>
      <c r="Q118" s="199">
        <f t="shared" si="45"/>
        <v>1729.04</v>
      </c>
      <c r="R118" s="199">
        <f t="shared" si="45"/>
        <v>1729.04</v>
      </c>
      <c r="S118" s="199">
        <f t="shared" si="45"/>
        <v>1729.04</v>
      </c>
      <c r="T118" s="199">
        <f t="shared" si="45"/>
        <v>1729.04</v>
      </c>
      <c r="U118" s="199">
        <f t="shared" si="45"/>
        <v>1729.04</v>
      </c>
      <c r="V118" s="199">
        <f t="shared" si="45"/>
        <v>1729.04</v>
      </c>
    </row>
    <row r="119" spans="1:22" s="133" customFormat="1" ht="20" customHeight="1">
      <c r="A119" s="690" t="s">
        <v>108</v>
      </c>
      <c r="B119" s="664"/>
      <c r="C119" s="664"/>
      <c r="D119" s="664"/>
      <c r="E119" s="664"/>
      <c r="F119" s="664"/>
      <c r="G119" s="664"/>
      <c r="H119" s="664"/>
      <c r="I119" s="664"/>
      <c r="J119" s="665"/>
      <c r="K119" s="128">
        <f t="shared" ref="K119:V119" si="46">K65</f>
        <v>2203.1701120133334</v>
      </c>
      <c r="L119" s="128">
        <f t="shared" si="46"/>
        <v>2203.1701120133334</v>
      </c>
      <c r="M119" s="128">
        <f t="shared" si="46"/>
        <v>2203.1701120133334</v>
      </c>
      <c r="N119" s="128">
        <f t="shared" si="46"/>
        <v>2203.1701120133334</v>
      </c>
      <c r="O119" s="128">
        <f t="shared" si="46"/>
        <v>2203.1701120133334</v>
      </c>
      <c r="P119" s="128">
        <f t="shared" si="46"/>
        <v>2203.1701120133334</v>
      </c>
      <c r="Q119" s="128">
        <f t="shared" si="46"/>
        <v>2203.1701120133334</v>
      </c>
      <c r="R119" s="128">
        <f t="shared" si="46"/>
        <v>2203.1701120133334</v>
      </c>
      <c r="S119" s="128">
        <f t="shared" si="46"/>
        <v>2017.9301120133334</v>
      </c>
      <c r="T119" s="128">
        <f t="shared" si="46"/>
        <v>2017.9301120133334</v>
      </c>
      <c r="U119" s="128">
        <f t="shared" si="46"/>
        <v>2004.7301120133334</v>
      </c>
      <c r="V119" s="128">
        <f t="shared" si="46"/>
        <v>1995.9301120133334</v>
      </c>
    </row>
    <row r="120" spans="1:22" s="133" customFormat="1" ht="20" customHeight="1">
      <c r="A120" s="690" t="s">
        <v>109</v>
      </c>
      <c r="B120" s="664"/>
      <c r="C120" s="664"/>
      <c r="D120" s="664"/>
      <c r="E120" s="664"/>
      <c r="F120" s="664"/>
      <c r="G120" s="664"/>
      <c r="H120" s="664"/>
      <c r="I120" s="664"/>
      <c r="J120" s="665"/>
      <c r="K120" s="128">
        <f t="shared" ref="K120:V120" si="47">K74</f>
        <v>121.64959870092592</v>
      </c>
      <c r="L120" s="128">
        <f t="shared" si="47"/>
        <v>121.64959870092592</v>
      </c>
      <c r="M120" s="128">
        <f t="shared" si="47"/>
        <v>121.64959870092592</v>
      </c>
      <c r="N120" s="128">
        <f t="shared" si="47"/>
        <v>121.64959870092592</v>
      </c>
      <c r="O120" s="128">
        <f t="shared" si="47"/>
        <v>121.64959870092592</v>
      </c>
      <c r="P120" s="128">
        <f t="shared" si="47"/>
        <v>121.64959870092592</v>
      </c>
      <c r="Q120" s="128">
        <f t="shared" si="47"/>
        <v>121.64959870092592</v>
      </c>
      <c r="R120" s="128">
        <f t="shared" si="47"/>
        <v>121.64959870092592</v>
      </c>
      <c r="S120" s="128">
        <f t="shared" si="47"/>
        <v>121.64959870092592</v>
      </c>
      <c r="T120" s="128">
        <f t="shared" si="47"/>
        <v>121.64959870092592</v>
      </c>
      <c r="U120" s="128">
        <f t="shared" si="47"/>
        <v>121.64959870092592</v>
      </c>
      <c r="V120" s="128">
        <f t="shared" si="47"/>
        <v>121.64959870092592</v>
      </c>
    </row>
    <row r="121" spans="1:22" s="133" customFormat="1" ht="20" customHeight="1">
      <c r="A121" s="690" t="s">
        <v>110</v>
      </c>
      <c r="B121" s="664"/>
      <c r="C121" s="664"/>
      <c r="D121" s="664"/>
      <c r="E121" s="664"/>
      <c r="F121" s="664"/>
      <c r="G121" s="664"/>
      <c r="H121" s="664"/>
      <c r="I121" s="664"/>
      <c r="J121" s="665"/>
      <c r="K121" s="128">
        <f t="shared" ref="K121:V121" si="48">K98</f>
        <v>346.34000000000009</v>
      </c>
      <c r="L121" s="128">
        <f t="shared" si="48"/>
        <v>346.34000000000009</v>
      </c>
      <c r="M121" s="128">
        <f t="shared" si="48"/>
        <v>346.34000000000009</v>
      </c>
      <c r="N121" s="128">
        <f t="shared" si="48"/>
        <v>346.34000000000009</v>
      </c>
      <c r="O121" s="128">
        <f t="shared" si="48"/>
        <v>346.34000000000009</v>
      </c>
      <c r="P121" s="128">
        <f t="shared" si="48"/>
        <v>346.34000000000009</v>
      </c>
      <c r="Q121" s="128">
        <f t="shared" si="48"/>
        <v>346.34000000000009</v>
      </c>
      <c r="R121" s="128">
        <f t="shared" si="48"/>
        <v>346.34000000000009</v>
      </c>
      <c r="S121" s="128">
        <f t="shared" si="48"/>
        <v>346.34000000000009</v>
      </c>
      <c r="T121" s="128">
        <f t="shared" si="48"/>
        <v>346.34000000000009</v>
      </c>
      <c r="U121" s="128">
        <f t="shared" si="48"/>
        <v>346.34000000000009</v>
      </c>
      <c r="V121" s="128">
        <f t="shared" si="48"/>
        <v>346.34000000000009</v>
      </c>
    </row>
    <row r="122" spans="1:22" s="133" customFormat="1" ht="20" customHeight="1" thickBot="1">
      <c r="A122" s="692" t="s">
        <v>111</v>
      </c>
      <c r="B122" s="693"/>
      <c r="C122" s="693"/>
      <c r="D122" s="693"/>
      <c r="E122" s="693"/>
      <c r="F122" s="693"/>
      <c r="G122" s="693"/>
      <c r="H122" s="693"/>
      <c r="I122" s="693"/>
      <c r="J122" s="694"/>
      <c r="K122" s="129">
        <f t="shared" ref="K122:V122" si="49">K104</f>
        <v>218.01072222222223</v>
      </c>
      <c r="L122" s="129">
        <f t="shared" si="49"/>
        <v>189.85822222222225</v>
      </c>
      <c r="M122" s="129">
        <f t="shared" si="49"/>
        <v>160.06861111111112</v>
      </c>
      <c r="N122" s="129">
        <f t="shared" si="49"/>
        <v>304.34199999999998</v>
      </c>
      <c r="O122" s="129">
        <f t="shared" si="49"/>
        <v>196.54627777777779</v>
      </c>
      <c r="P122" s="129">
        <f t="shared" si="49"/>
        <v>321.17138888888894</v>
      </c>
      <c r="Q122" s="129">
        <f t="shared" si="49"/>
        <v>259.50166666666667</v>
      </c>
      <c r="R122" s="129">
        <f t="shared" si="49"/>
        <v>185.6276388888889</v>
      </c>
      <c r="S122" s="129">
        <f t="shared" si="49"/>
        <v>551.39988888888888</v>
      </c>
      <c r="T122" s="129">
        <f t="shared" si="49"/>
        <v>456.75844444444448</v>
      </c>
      <c r="U122" s="129">
        <f t="shared" si="49"/>
        <v>235.35742592592595</v>
      </c>
      <c r="V122" s="129">
        <f t="shared" si="49"/>
        <v>264.8797222222222</v>
      </c>
    </row>
    <row r="123" spans="1:22" s="133" customFormat="1" ht="20" customHeight="1" thickBot="1">
      <c r="A123" s="696" t="s">
        <v>192</v>
      </c>
      <c r="B123" s="697"/>
      <c r="C123" s="697"/>
      <c r="D123" s="697"/>
      <c r="E123" s="697"/>
      <c r="F123" s="697"/>
      <c r="G123" s="697"/>
      <c r="H123" s="697"/>
      <c r="I123" s="697"/>
      <c r="J123" s="698"/>
      <c r="K123" s="130">
        <f t="shared" ref="K123:V123" si="50">SUM(K118:K122)</f>
        <v>4618.2104329364811</v>
      </c>
      <c r="L123" s="130">
        <f t="shared" si="50"/>
        <v>4590.0579329364809</v>
      </c>
      <c r="M123" s="130">
        <f t="shared" si="50"/>
        <v>4560.2683218253696</v>
      </c>
      <c r="N123" s="130">
        <f t="shared" si="50"/>
        <v>4704.5417107142584</v>
      </c>
      <c r="O123" s="130">
        <f t="shared" si="50"/>
        <v>4596.7459884920363</v>
      </c>
      <c r="P123" s="130">
        <f t="shared" si="50"/>
        <v>4721.3710996031477</v>
      </c>
      <c r="Q123" s="130">
        <f t="shared" si="50"/>
        <v>4659.7013773809258</v>
      </c>
      <c r="R123" s="130">
        <f t="shared" si="50"/>
        <v>4585.8273496031479</v>
      </c>
      <c r="S123" s="130">
        <f t="shared" si="50"/>
        <v>4766.3595996031481</v>
      </c>
      <c r="T123" s="130">
        <f t="shared" si="50"/>
        <v>4671.7181551587037</v>
      </c>
      <c r="U123" s="130">
        <f t="shared" si="50"/>
        <v>4437.117136640185</v>
      </c>
      <c r="V123" s="130">
        <f t="shared" si="50"/>
        <v>4457.839432936481</v>
      </c>
    </row>
    <row r="124" spans="1:22" s="133" customFormat="1" ht="20" customHeight="1" thickBot="1">
      <c r="A124" s="673" t="s">
        <v>112</v>
      </c>
      <c r="B124" s="674"/>
      <c r="C124" s="674"/>
      <c r="D124" s="674"/>
      <c r="E124" s="674"/>
      <c r="F124" s="674"/>
      <c r="G124" s="674"/>
      <c r="H124" s="674"/>
      <c r="I124" s="674"/>
      <c r="J124" s="675"/>
      <c r="K124" s="106">
        <f t="shared" ref="K124:V124" si="51">K114</f>
        <v>1046.1699999999998</v>
      </c>
      <c r="L124" s="106">
        <f t="shared" si="51"/>
        <v>1039.79</v>
      </c>
      <c r="M124" s="106">
        <f t="shared" si="51"/>
        <v>1033.03</v>
      </c>
      <c r="N124" s="106">
        <f t="shared" si="51"/>
        <v>1065.73</v>
      </c>
      <c r="O124" s="106">
        <f t="shared" si="51"/>
        <v>1041.31</v>
      </c>
      <c r="P124" s="106">
        <f t="shared" si="51"/>
        <v>1069.54</v>
      </c>
      <c r="Q124" s="106">
        <f t="shared" si="51"/>
        <v>1055.58</v>
      </c>
      <c r="R124" s="106">
        <f t="shared" si="51"/>
        <v>1038.8399999999999</v>
      </c>
      <c r="S124" s="106">
        <f t="shared" si="51"/>
        <v>1132.28</v>
      </c>
      <c r="T124" s="106">
        <f t="shared" si="51"/>
        <v>1109.8</v>
      </c>
      <c r="U124" s="106">
        <f t="shared" si="51"/>
        <v>1151.9199999999998</v>
      </c>
      <c r="V124" s="106">
        <f t="shared" si="51"/>
        <v>1058.98</v>
      </c>
    </row>
    <row r="125" spans="1:22" s="133" customFormat="1" ht="20" customHeight="1">
      <c r="A125" s="661" t="s">
        <v>220</v>
      </c>
      <c r="B125" s="662"/>
      <c r="C125" s="662"/>
      <c r="D125" s="662"/>
      <c r="E125" s="662"/>
      <c r="F125" s="662"/>
      <c r="G125" s="662"/>
      <c r="H125" s="662"/>
      <c r="I125" s="662"/>
      <c r="J125" s="663"/>
      <c r="K125" s="302">
        <f t="shared" ref="K125:V125" si="52">K123+K124</f>
        <v>5664.3804329364812</v>
      </c>
      <c r="L125" s="302">
        <f t="shared" si="52"/>
        <v>5629.8479329364809</v>
      </c>
      <c r="M125" s="302">
        <f t="shared" si="52"/>
        <v>5593.2983218253694</v>
      </c>
      <c r="N125" s="302">
        <f t="shared" si="52"/>
        <v>5770.271710714258</v>
      </c>
      <c r="O125" s="302">
        <f t="shared" si="52"/>
        <v>5638.0559884920367</v>
      </c>
      <c r="P125" s="302">
        <f t="shared" si="52"/>
        <v>5790.9110996031477</v>
      </c>
      <c r="Q125" s="302">
        <f t="shared" si="52"/>
        <v>5715.2813773809257</v>
      </c>
      <c r="R125" s="302">
        <f t="shared" si="52"/>
        <v>5624.6673496031481</v>
      </c>
      <c r="S125" s="302">
        <f t="shared" si="52"/>
        <v>5898.6395996031479</v>
      </c>
      <c r="T125" s="302">
        <f t="shared" si="52"/>
        <v>5781.5181551587038</v>
      </c>
      <c r="U125" s="302">
        <f t="shared" si="52"/>
        <v>5589.0371366401851</v>
      </c>
      <c r="V125" s="302">
        <f t="shared" si="52"/>
        <v>5516.8194329364815</v>
      </c>
    </row>
    <row r="126" spans="1:22" s="133" customFormat="1" ht="20" customHeight="1" thickBot="1">
      <c r="A126" s="806" t="s">
        <v>326</v>
      </c>
      <c r="B126" s="807"/>
      <c r="C126" s="807"/>
      <c r="D126" s="807"/>
      <c r="E126" s="807"/>
      <c r="F126" s="807"/>
      <c r="G126" s="807"/>
      <c r="H126" s="807"/>
      <c r="I126" s="807"/>
      <c r="J126" s="807"/>
      <c r="K126" s="304">
        <v>5</v>
      </c>
      <c r="L126" s="304">
        <v>1</v>
      </c>
      <c r="M126" s="304">
        <v>1</v>
      </c>
      <c r="N126" s="304">
        <v>2</v>
      </c>
      <c r="O126" s="304">
        <v>1</v>
      </c>
      <c r="P126" s="304">
        <v>1</v>
      </c>
      <c r="Q126" s="304">
        <v>1</v>
      </c>
      <c r="R126" s="304">
        <v>2</v>
      </c>
      <c r="S126" s="304">
        <v>1</v>
      </c>
      <c r="T126" s="304">
        <v>1</v>
      </c>
      <c r="U126" s="304">
        <v>3</v>
      </c>
      <c r="V126" s="304">
        <v>1</v>
      </c>
    </row>
    <row r="127" spans="1:22" s="133" customFormat="1" ht="20" customHeight="1" thickBot="1">
      <c r="A127" s="791" t="s">
        <v>327</v>
      </c>
      <c r="B127" s="792"/>
      <c r="C127" s="792"/>
      <c r="D127" s="792"/>
      <c r="E127" s="792"/>
      <c r="F127" s="792"/>
      <c r="G127" s="792"/>
      <c r="H127" s="792"/>
      <c r="I127" s="792"/>
      <c r="J127" s="792"/>
      <c r="K127" s="305">
        <f>K125*K126</f>
        <v>28321.902164682404</v>
      </c>
      <c r="L127" s="305">
        <f t="shared" ref="L127:V127" si="53">L125*L126</f>
        <v>5629.8479329364809</v>
      </c>
      <c r="M127" s="305">
        <f t="shared" si="53"/>
        <v>5593.2983218253694</v>
      </c>
      <c r="N127" s="305">
        <f t="shared" si="53"/>
        <v>11540.543421428516</v>
      </c>
      <c r="O127" s="305">
        <f t="shared" si="53"/>
        <v>5638.0559884920367</v>
      </c>
      <c r="P127" s="305">
        <f t="shared" si="53"/>
        <v>5790.9110996031477</v>
      </c>
      <c r="Q127" s="305">
        <f t="shared" si="53"/>
        <v>5715.2813773809257</v>
      </c>
      <c r="R127" s="305">
        <f t="shared" si="53"/>
        <v>11249.334699206296</v>
      </c>
      <c r="S127" s="305">
        <f t="shared" si="53"/>
        <v>5898.6395996031479</v>
      </c>
      <c r="T127" s="305">
        <f t="shared" si="53"/>
        <v>5781.5181551587038</v>
      </c>
      <c r="U127" s="305">
        <f t="shared" si="53"/>
        <v>16767.111409920555</v>
      </c>
      <c r="V127" s="306">
        <f t="shared" si="53"/>
        <v>5516.8194329364815</v>
      </c>
    </row>
    <row r="128" spans="1:22" s="133" customFormat="1" ht="20" customHeight="1" thickBot="1">
      <c r="A128" s="795" t="s">
        <v>328</v>
      </c>
      <c r="B128" s="796"/>
      <c r="C128" s="796"/>
      <c r="D128" s="796"/>
      <c r="E128" s="796"/>
      <c r="F128" s="796"/>
      <c r="G128" s="796"/>
      <c r="H128" s="796"/>
      <c r="I128" s="796"/>
      <c r="J128" s="796"/>
      <c r="K128" s="318">
        <f>SUM(K127:V127)</f>
        <v>113443.26360317407</v>
      </c>
      <c r="L128" s="315"/>
      <c r="M128" s="315"/>
      <c r="N128" s="315"/>
      <c r="O128" s="315"/>
      <c r="P128" s="315"/>
      <c r="Q128" s="315"/>
      <c r="R128" s="315"/>
      <c r="S128" s="315"/>
      <c r="T128" s="315"/>
      <c r="U128" s="315"/>
      <c r="V128" s="315"/>
    </row>
    <row r="129" spans="1:22" s="133" customFormat="1" ht="20" customHeight="1">
      <c r="A129" s="314"/>
      <c r="B129" s="314"/>
      <c r="C129" s="314"/>
      <c r="D129" s="314"/>
      <c r="E129" s="314"/>
      <c r="F129" s="314"/>
      <c r="G129" s="314"/>
      <c r="H129" s="314"/>
      <c r="I129" s="314"/>
      <c r="J129" s="314"/>
      <c r="K129" s="315"/>
      <c r="L129" s="315"/>
      <c r="M129" s="315"/>
      <c r="N129" s="315"/>
      <c r="O129" s="315"/>
      <c r="P129" s="315"/>
      <c r="Q129" s="315"/>
      <c r="R129" s="315"/>
      <c r="S129" s="315"/>
      <c r="T129" s="315"/>
      <c r="U129" s="315"/>
      <c r="V129" s="315"/>
    </row>
    <row r="130" spans="1:22" s="133" customFormat="1" ht="20" customHeight="1">
      <c r="A130" s="314"/>
      <c r="B130" s="314"/>
      <c r="C130" s="314"/>
      <c r="D130" s="314"/>
      <c r="E130" s="314"/>
      <c r="F130" s="314"/>
      <c r="G130" s="314"/>
      <c r="H130" s="314"/>
      <c r="I130" s="314"/>
      <c r="J130" s="314"/>
      <c r="K130" s="315"/>
      <c r="L130" s="315"/>
      <c r="M130" s="315"/>
      <c r="N130" s="315"/>
      <c r="O130" s="315"/>
      <c r="P130" s="315"/>
      <c r="Q130" s="315"/>
      <c r="R130" s="315"/>
      <c r="S130" s="315"/>
      <c r="T130" s="315"/>
      <c r="U130" s="315"/>
      <c r="V130" s="315"/>
    </row>
    <row r="131" spans="1:22" s="133" customFormat="1" ht="20" customHeight="1">
      <c r="A131" s="314"/>
      <c r="B131" s="314"/>
      <c r="C131" s="314"/>
      <c r="D131" s="314"/>
      <c r="E131" s="314"/>
      <c r="F131" s="314"/>
      <c r="G131" s="314"/>
      <c r="H131" s="314"/>
      <c r="I131" s="314"/>
      <c r="J131" s="314"/>
      <c r="K131" s="315"/>
      <c r="L131" s="315"/>
      <c r="M131" s="1"/>
      <c r="N131" s="315"/>
      <c r="O131" s="315"/>
      <c r="P131" s="315"/>
      <c r="Q131" s="315"/>
      <c r="R131" s="315"/>
      <c r="S131" s="315"/>
      <c r="T131" s="315"/>
      <c r="U131" s="315"/>
      <c r="V131" s="315"/>
    </row>
    <row r="133" spans="1:22" s="133" customFormat="1" ht="20" customHeight="1">
      <c r="A133" s="787"/>
      <c r="B133" s="787"/>
      <c r="C133" s="787"/>
      <c r="D133" s="787"/>
      <c r="E133" s="787"/>
      <c r="F133" s="787"/>
      <c r="G133" s="787"/>
      <c r="H133" s="787"/>
      <c r="I133" s="787"/>
      <c r="J133" s="787"/>
      <c r="K133" s="787"/>
      <c r="L133" s="307"/>
    </row>
    <row r="134" spans="1:22" s="133" customFormat="1" ht="45" customHeight="1">
      <c r="A134" s="788"/>
      <c r="B134" s="788"/>
      <c r="C134" s="788"/>
      <c r="D134" s="788"/>
      <c r="E134" s="788"/>
      <c r="F134" s="788"/>
      <c r="G134" s="788"/>
      <c r="H134" s="788"/>
      <c r="I134" s="308"/>
      <c r="J134" s="308"/>
      <c r="K134" s="308"/>
      <c r="L134" s="307"/>
    </row>
    <row r="135" spans="1:22" s="133" customFormat="1" ht="20" customHeight="1">
      <c r="A135" s="788"/>
      <c r="B135" s="788"/>
      <c r="C135" s="788"/>
      <c r="D135" s="789"/>
      <c r="E135" s="788"/>
      <c r="F135" s="788"/>
      <c r="G135" s="788"/>
      <c r="H135" s="788"/>
      <c r="I135" s="309"/>
      <c r="J135" s="308"/>
      <c r="K135" s="309"/>
      <c r="L135" s="307"/>
    </row>
    <row r="136" spans="1:22" s="9" customFormat="1">
      <c r="A136" s="269"/>
      <c r="B136" s="269"/>
      <c r="C136" s="269"/>
      <c r="D136" s="269"/>
      <c r="E136" s="269"/>
      <c r="F136" s="269"/>
      <c r="G136" s="269"/>
      <c r="H136" s="269"/>
      <c r="I136" s="269"/>
      <c r="J136" s="269"/>
      <c r="K136" s="269"/>
      <c r="L136" s="269"/>
    </row>
    <row r="137" spans="1:22" s="133" customFormat="1" ht="20" customHeight="1">
      <c r="A137" s="787"/>
      <c r="B137" s="787"/>
      <c r="C137" s="787"/>
      <c r="D137" s="787"/>
      <c r="E137" s="787"/>
      <c r="F137" s="787"/>
      <c r="G137" s="787"/>
      <c r="H137" s="787"/>
      <c r="I137" s="787"/>
      <c r="J137" s="787"/>
      <c r="K137" s="787"/>
      <c r="L137" s="307"/>
    </row>
    <row r="138" spans="1:22" s="133" customFormat="1" ht="20" customHeight="1">
      <c r="A138" s="790"/>
      <c r="B138" s="790"/>
      <c r="C138" s="790"/>
      <c r="D138" s="790"/>
      <c r="E138" s="790"/>
      <c r="F138" s="790"/>
      <c r="G138" s="790"/>
      <c r="H138" s="790"/>
      <c r="I138" s="790"/>
      <c r="J138" s="790"/>
      <c r="K138" s="310"/>
      <c r="L138" s="307"/>
    </row>
    <row r="139" spans="1:22" s="133" customFormat="1" ht="20" customHeight="1">
      <c r="A139" s="311"/>
      <c r="B139" s="785"/>
      <c r="C139" s="785"/>
      <c r="D139" s="785"/>
      <c r="E139" s="785"/>
      <c r="F139" s="785"/>
      <c r="G139" s="785"/>
      <c r="H139" s="785"/>
      <c r="I139" s="785"/>
      <c r="J139" s="785"/>
      <c r="K139" s="312"/>
      <c r="L139" s="307"/>
    </row>
    <row r="140" spans="1:22" s="133" customFormat="1" ht="20" customHeight="1">
      <c r="A140" s="311"/>
      <c r="B140" s="785"/>
      <c r="C140" s="785"/>
      <c r="D140" s="785"/>
      <c r="E140" s="785"/>
      <c r="F140" s="785"/>
      <c r="G140" s="785"/>
      <c r="H140" s="785"/>
      <c r="I140" s="785"/>
      <c r="J140" s="785"/>
      <c r="K140" s="312"/>
      <c r="L140" s="307"/>
    </row>
    <row r="141" spans="1:22" s="133" customFormat="1" ht="20" customHeight="1">
      <c r="A141" s="311"/>
      <c r="B141" s="785"/>
      <c r="C141" s="785"/>
      <c r="D141" s="785"/>
      <c r="E141" s="785"/>
      <c r="F141" s="785"/>
      <c r="G141" s="785"/>
      <c r="H141" s="785"/>
      <c r="I141" s="785"/>
      <c r="J141" s="785"/>
      <c r="K141" s="311"/>
      <c r="L141" s="307"/>
    </row>
    <row r="142" spans="1:22" s="133" customFormat="1" ht="20" customHeight="1">
      <c r="A142" s="313"/>
      <c r="B142" s="786"/>
      <c r="C142" s="786"/>
      <c r="D142" s="786"/>
      <c r="E142" s="786"/>
      <c r="F142" s="786"/>
      <c r="G142" s="786"/>
      <c r="H142" s="786"/>
      <c r="I142" s="786"/>
      <c r="J142" s="786"/>
      <c r="K142" s="271"/>
      <c r="L142" s="307"/>
    </row>
    <row r="143" spans="1:22">
      <c r="A143" s="269"/>
      <c r="B143" s="269"/>
      <c r="C143" s="269"/>
      <c r="D143" s="269"/>
      <c r="E143" s="269"/>
      <c r="F143" s="269"/>
      <c r="G143" s="269"/>
      <c r="H143" s="269"/>
      <c r="I143" s="269"/>
      <c r="J143" s="269"/>
      <c r="K143" s="269"/>
      <c r="L143" s="269"/>
    </row>
    <row r="144" spans="1:22">
      <c r="A144" s="269"/>
      <c r="B144" s="269"/>
      <c r="C144" s="269"/>
      <c r="D144" s="269"/>
      <c r="E144" s="269"/>
      <c r="F144" s="269"/>
      <c r="G144" s="269"/>
      <c r="H144" s="269"/>
      <c r="I144" s="269"/>
      <c r="J144" s="269"/>
      <c r="K144" s="269"/>
      <c r="L144" s="269"/>
    </row>
    <row r="145" spans="1:12">
      <c r="A145" s="269"/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  <c r="L145" s="269"/>
    </row>
  </sheetData>
  <mergeCells count="146">
    <mergeCell ref="A127:J127"/>
    <mergeCell ref="A116:J116"/>
    <mergeCell ref="A128:J128"/>
    <mergeCell ref="A75:J75"/>
    <mergeCell ref="D7:J7"/>
    <mergeCell ref="A29:J29"/>
    <mergeCell ref="A31:K31"/>
    <mergeCell ref="A32:I32"/>
    <mergeCell ref="B33:I33"/>
    <mergeCell ref="A126:J126"/>
    <mergeCell ref="B34:I34"/>
    <mergeCell ref="B39:I39"/>
    <mergeCell ref="B40:I40"/>
    <mergeCell ref="B42:I42"/>
    <mergeCell ref="B43:I43"/>
    <mergeCell ref="B44:I44"/>
    <mergeCell ref="B8:J8"/>
    <mergeCell ref="B9:J9"/>
    <mergeCell ref="B12:J12"/>
    <mergeCell ref="A17:K17"/>
    <mergeCell ref="B18:J18"/>
    <mergeCell ref="A25:J25"/>
    <mergeCell ref="B26:J26"/>
    <mergeCell ref="B27:J27"/>
    <mergeCell ref="B139:J139"/>
    <mergeCell ref="B140:J140"/>
    <mergeCell ref="B141:J141"/>
    <mergeCell ref="B142:J142"/>
    <mergeCell ref="A133:K133"/>
    <mergeCell ref="A134:C134"/>
    <mergeCell ref="D134:F134"/>
    <mergeCell ref="G134:H134"/>
    <mergeCell ref="A135:C135"/>
    <mergeCell ref="D135:F135"/>
    <mergeCell ref="G135:H135"/>
    <mergeCell ref="A137:K137"/>
    <mergeCell ref="A138:J138"/>
    <mergeCell ref="B28:J28"/>
    <mergeCell ref="B10:J10"/>
    <mergeCell ref="B11:J11"/>
    <mergeCell ref="B13:J13"/>
    <mergeCell ref="B14:J14"/>
    <mergeCell ref="B15:J15"/>
    <mergeCell ref="B19:J19"/>
    <mergeCell ref="B20:J20"/>
    <mergeCell ref="B21:J21"/>
    <mergeCell ref="B22:J22"/>
    <mergeCell ref="B23:J23"/>
    <mergeCell ref="B53:J53"/>
    <mergeCell ref="B45:I45"/>
    <mergeCell ref="B46:I46"/>
    <mergeCell ref="B41:C41"/>
    <mergeCell ref="H41:I41"/>
    <mergeCell ref="A49:J49"/>
    <mergeCell ref="A38:I38"/>
    <mergeCell ref="A48:J48"/>
    <mergeCell ref="B50:J50"/>
    <mergeCell ref="A119:J119"/>
    <mergeCell ref="A120:J120"/>
    <mergeCell ref="A47:I47"/>
    <mergeCell ref="A35:I35"/>
    <mergeCell ref="A1:K1"/>
    <mergeCell ref="A2:C2"/>
    <mergeCell ref="D2:K2"/>
    <mergeCell ref="A3:C3"/>
    <mergeCell ref="D3:K3"/>
    <mergeCell ref="A4:C4"/>
    <mergeCell ref="D4:F4"/>
    <mergeCell ref="A6:C7"/>
    <mergeCell ref="D6:K6"/>
    <mergeCell ref="I4:K4"/>
    <mergeCell ref="A36:K36"/>
    <mergeCell ref="A37:I37"/>
    <mergeCell ref="A65:J65"/>
    <mergeCell ref="B54:J54"/>
    <mergeCell ref="B55:J55"/>
    <mergeCell ref="B56:J56"/>
    <mergeCell ref="B57:J57"/>
    <mergeCell ref="K8:V8"/>
    <mergeCell ref="B51:J51"/>
    <mergeCell ref="B52:J52"/>
    <mergeCell ref="A118:J118"/>
    <mergeCell ref="A95:J95"/>
    <mergeCell ref="B58:J58"/>
    <mergeCell ref="A59:J59"/>
    <mergeCell ref="C62:J62"/>
    <mergeCell ref="C63:J63"/>
    <mergeCell ref="C64:J64"/>
    <mergeCell ref="A62:B62"/>
    <mergeCell ref="A63:B63"/>
    <mergeCell ref="A64:B64"/>
    <mergeCell ref="A60:K60"/>
    <mergeCell ref="A61:J61"/>
    <mergeCell ref="A67:J67"/>
    <mergeCell ref="B73:I73"/>
    <mergeCell ref="A66:K66"/>
    <mergeCell ref="A76:V76"/>
    <mergeCell ref="B70:J70"/>
    <mergeCell ref="A122:J122"/>
    <mergeCell ref="A100:J100"/>
    <mergeCell ref="A106:K106"/>
    <mergeCell ref="A98:J98"/>
    <mergeCell ref="B110:J110"/>
    <mergeCell ref="A123:J123"/>
    <mergeCell ref="B96:J96"/>
    <mergeCell ref="B83:I83"/>
    <mergeCell ref="B84:I84"/>
    <mergeCell ref="B85:I85"/>
    <mergeCell ref="B86:I86"/>
    <mergeCell ref="B87:I87"/>
    <mergeCell ref="B88:I88"/>
    <mergeCell ref="A94:K94"/>
    <mergeCell ref="B101:J101"/>
    <mergeCell ref="B102:J102"/>
    <mergeCell ref="B103:J103"/>
    <mergeCell ref="A104:J104"/>
    <mergeCell ref="B97:J97"/>
    <mergeCell ref="A90:K90"/>
    <mergeCell ref="A91:I91"/>
    <mergeCell ref="B92:I92"/>
    <mergeCell ref="A93:I93"/>
    <mergeCell ref="A89:J89"/>
    <mergeCell ref="A125:J125"/>
    <mergeCell ref="B68:J68"/>
    <mergeCell ref="B69:J69"/>
    <mergeCell ref="B71:J71"/>
    <mergeCell ref="B72:J72"/>
    <mergeCell ref="A107:I107"/>
    <mergeCell ref="A114:J114"/>
    <mergeCell ref="C112:I112"/>
    <mergeCell ref="C113:I113"/>
    <mergeCell ref="A115:J115"/>
    <mergeCell ref="B108:I108"/>
    <mergeCell ref="B109:I109"/>
    <mergeCell ref="C111:I111"/>
    <mergeCell ref="A124:J124"/>
    <mergeCell ref="A117:J117"/>
    <mergeCell ref="B82:I82"/>
    <mergeCell ref="I77:J77"/>
    <mergeCell ref="I79:J79"/>
    <mergeCell ref="I80:J80"/>
    <mergeCell ref="A77:H80"/>
    <mergeCell ref="A74:J74"/>
    <mergeCell ref="A81:I81"/>
    <mergeCell ref="A121:J121"/>
    <mergeCell ref="I78:J78"/>
  </mergeCells>
  <phoneticPr fontId="68" type="noConversion"/>
  <pageMargins left="0" right="0" top="0.13888888888888901" bottom="0.13888888888888901" header="0" footer="0"/>
  <pageSetup paperSize="9" scale="86" pageOrder="overThenDown" orientation="portrait" useFirstPageNumber="1" horizontalDpi="300" verticalDpi="300" r:id="rId1"/>
  <headerFooter>
    <oddHeader>&amp;C&amp;"Arial,Normal"&amp;10&amp;Kffffff&amp;A</oddHeader>
    <oddFooter>&amp;C&amp;"Arial,Normal"&amp;10&amp;KffffffPágina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O85"/>
  <sheetViews>
    <sheetView showGridLines="0" topLeftCell="A46" zoomScale="70" zoomScaleNormal="70" workbookViewId="0">
      <selection activeCell="L60" sqref="L60"/>
    </sheetView>
  </sheetViews>
  <sheetFormatPr defaultColWidth="8.6640625" defaultRowHeight="14.5"/>
  <cols>
    <col min="1" max="1" width="18.5" style="176" customWidth="1"/>
    <col min="2" max="2" width="14.6640625" style="176" customWidth="1"/>
    <col min="3" max="3" width="15.1640625" style="176" customWidth="1"/>
    <col min="4" max="5" width="10.9140625" style="176" customWidth="1"/>
    <col min="6" max="6" width="13.5" style="176" customWidth="1"/>
    <col min="7" max="7" width="17.5" style="176" bestFit="1" customWidth="1"/>
    <col min="8" max="8" width="8.1640625" style="176" customWidth="1"/>
    <col min="9" max="9" width="12.83203125" style="176" bestFit="1" customWidth="1"/>
    <col min="10" max="10" width="15" style="176" bestFit="1" customWidth="1"/>
    <col min="11" max="11" width="8.6640625" style="176"/>
    <col min="12" max="12" width="10.4140625" style="176" bestFit="1" customWidth="1"/>
    <col min="13" max="13" width="9.5" style="176" bestFit="1" customWidth="1"/>
    <col min="14" max="14" width="8.6640625" style="176"/>
    <col min="15" max="15" width="12.08203125" style="176" bestFit="1" customWidth="1"/>
    <col min="16" max="16384" width="8.6640625" style="176"/>
  </cols>
  <sheetData>
    <row r="1" spans="1:7" ht="70.25" customHeight="1">
      <c r="A1" s="878" t="s">
        <v>277</v>
      </c>
      <c r="B1" s="879"/>
      <c r="C1" s="879"/>
      <c r="D1" s="879"/>
      <c r="E1" s="879"/>
      <c r="F1" s="879"/>
      <c r="G1" s="880"/>
    </row>
    <row r="2" spans="1:7" ht="20" customHeight="1">
      <c r="A2" s="183" t="s">
        <v>204</v>
      </c>
      <c r="B2" s="881"/>
      <c r="C2" s="881"/>
      <c r="D2" s="881"/>
      <c r="E2" s="881"/>
      <c r="F2" s="881"/>
      <c r="G2" s="882"/>
    </row>
    <row r="3" spans="1:7" ht="20" customHeight="1">
      <c r="A3" s="183" t="s">
        <v>205</v>
      </c>
      <c r="B3" s="881"/>
      <c r="C3" s="881"/>
      <c r="D3" s="881"/>
      <c r="E3" s="881"/>
      <c r="F3" s="881"/>
      <c r="G3" s="882"/>
    </row>
    <row r="4" spans="1:7" ht="20" customHeight="1">
      <c r="A4" s="183" t="s">
        <v>206</v>
      </c>
      <c r="B4" s="881"/>
      <c r="C4" s="881"/>
      <c r="D4" s="881"/>
      <c r="E4" s="881"/>
      <c r="F4" s="881"/>
      <c r="G4" s="882"/>
    </row>
    <row r="5" spans="1:7" ht="20" customHeight="1">
      <c r="A5" s="253" t="s">
        <v>207</v>
      </c>
      <c r="B5" s="883" t="s">
        <v>208</v>
      </c>
      <c r="C5" s="883"/>
      <c r="D5" s="180" t="s">
        <v>209</v>
      </c>
      <c r="E5" s="881"/>
      <c r="F5" s="881"/>
      <c r="G5" s="882"/>
    </row>
    <row r="6" spans="1:7" s="210" customFormat="1" ht="20" customHeight="1">
      <c r="A6" s="419" t="s">
        <v>393</v>
      </c>
      <c r="B6" s="894"/>
      <c r="C6" s="895"/>
      <c r="D6" s="895"/>
      <c r="E6" s="895"/>
      <c r="F6" s="895"/>
      <c r="G6" s="896"/>
    </row>
    <row r="7" spans="1:7" ht="20" customHeight="1">
      <c r="B7" s="889"/>
      <c r="C7" s="889"/>
      <c r="D7" s="889"/>
      <c r="E7" s="889"/>
      <c r="F7" s="889"/>
      <c r="G7" s="890"/>
    </row>
    <row r="8" spans="1:7" s="210" customFormat="1" ht="20" customHeight="1">
      <c r="A8" s="419" t="s">
        <v>392</v>
      </c>
      <c r="B8" s="891"/>
      <c r="C8" s="892"/>
      <c r="D8" s="892"/>
      <c r="E8" s="892"/>
      <c r="F8" s="892"/>
      <c r="G8" s="893"/>
    </row>
    <row r="9" spans="1:7" s="210" customFormat="1" ht="42" customHeight="1">
      <c r="A9" s="419" t="s">
        <v>90</v>
      </c>
      <c r="B9" s="897" t="s">
        <v>394</v>
      </c>
      <c r="C9" s="898"/>
      <c r="D9" s="898"/>
      <c r="E9" s="898"/>
      <c r="F9" s="898"/>
      <c r="G9" s="899"/>
    </row>
    <row r="10" spans="1:7" s="210" customFormat="1" ht="20" customHeight="1">
      <c r="A10" s="884" t="s">
        <v>286</v>
      </c>
      <c r="B10" s="885"/>
      <c r="C10" s="886"/>
      <c r="D10" s="872"/>
      <c r="E10" s="873"/>
      <c r="F10" s="873"/>
      <c r="G10" s="874"/>
    </row>
    <row r="11" spans="1:7" s="210" customFormat="1" ht="30" customHeight="1">
      <c r="A11" s="887" t="s">
        <v>287</v>
      </c>
      <c r="B11" s="888"/>
      <c r="C11" s="888"/>
      <c r="D11" s="875"/>
      <c r="E11" s="876"/>
      <c r="F11" s="876"/>
      <c r="G11" s="877"/>
    </row>
    <row r="12" spans="1:7" s="210" customFormat="1" ht="30" customHeight="1">
      <c r="A12" s="827" t="s">
        <v>288</v>
      </c>
      <c r="B12" s="828"/>
      <c r="C12" s="828"/>
      <c r="D12" s="828"/>
      <c r="E12" s="828"/>
      <c r="F12" s="828"/>
      <c r="G12" s="828"/>
    </row>
    <row r="13" spans="1:7" ht="15.5">
      <c r="A13" s="829" t="s">
        <v>289</v>
      </c>
      <c r="B13" s="830"/>
      <c r="C13" s="830"/>
      <c r="D13" s="830"/>
      <c r="E13" s="830"/>
      <c r="F13" s="830"/>
      <c r="G13" s="831"/>
    </row>
    <row r="14" spans="1:7" ht="31">
      <c r="A14" s="245" t="s">
        <v>210</v>
      </c>
      <c r="B14" s="246" t="s">
        <v>278</v>
      </c>
      <c r="C14" s="247" t="s">
        <v>275</v>
      </c>
      <c r="D14" s="832" t="s">
        <v>276</v>
      </c>
      <c r="E14" s="832"/>
      <c r="F14" s="832" t="s">
        <v>274</v>
      </c>
      <c r="G14" s="833"/>
    </row>
    <row r="15" spans="1:7" s="210" customFormat="1" ht="15.5">
      <c r="A15" s="245">
        <v>1</v>
      </c>
      <c r="B15" s="248">
        <v>5</v>
      </c>
      <c r="C15" s="316">
        <f>'Copeiragem_Grupo 1'!K125</f>
        <v>5664.3804329364812</v>
      </c>
      <c r="D15" s="817">
        <f>B15*C15</f>
        <v>28321.902164682404</v>
      </c>
      <c r="E15" s="818"/>
      <c r="F15" s="817">
        <f>D15*36</f>
        <v>1019588.4779285665</v>
      </c>
      <c r="G15" s="818"/>
    </row>
    <row r="16" spans="1:7" s="210" customFormat="1" ht="15.5">
      <c r="A16" s="245">
        <v>2</v>
      </c>
      <c r="B16" s="248">
        <v>1</v>
      </c>
      <c r="C16" s="316">
        <f>'Copeiragem_Grupo 1'!L125</f>
        <v>5629.8479329364809</v>
      </c>
      <c r="D16" s="817">
        <f t="shared" ref="D16:D26" si="0">B16*C16</f>
        <v>5629.8479329364809</v>
      </c>
      <c r="E16" s="818"/>
      <c r="F16" s="817">
        <f t="shared" ref="F16:F26" si="1">D16*36</f>
        <v>202674.5255857133</v>
      </c>
      <c r="G16" s="818"/>
    </row>
    <row r="17" spans="1:13" s="210" customFormat="1" ht="15.5">
      <c r="A17" s="245">
        <v>3</v>
      </c>
      <c r="B17" s="248">
        <v>1</v>
      </c>
      <c r="C17" s="316">
        <f>'Copeiragem_Grupo 1'!M125</f>
        <v>5593.2983218253694</v>
      </c>
      <c r="D17" s="817">
        <f t="shared" si="0"/>
        <v>5593.2983218253694</v>
      </c>
      <c r="E17" s="818"/>
      <c r="F17" s="817">
        <f t="shared" si="1"/>
        <v>201358.73958571331</v>
      </c>
      <c r="G17" s="818"/>
    </row>
    <row r="18" spans="1:13" s="210" customFormat="1" ht="15.5">
      <c r="A18" s="245">
        <v>4</v>
      </c>
      <c r="B18" s="248">
        <v>2</v>
      </c>
      <c r="C18" s="316">
        <f>'Copeiragem_Grupo 1'!N125</f>
        <v>5770.271710714258</v>
      </c>
      <c r="D18" s="817">
        <f t="shared" si="0"/>
        <v>11540.543421428516</v>
      </c>
      <c r="E18" s="818"/>
      <c r="F18" s="817">
        <f t="shared" si="1"/>
        <v>415459.56317142659</v>
      </c>
      <c r="G18" s="818"/>
    </row>
    <row r="19" spans="1:13" s="210" customFormat="1" ht="15.5">
      <c r="A19" s="245">
        <v>5</v>
      </c>
      <c r="B19" s="248">
        <v>1</v>
      </c>
      <c r="C19" s="316">
        <f>'Copeiragem_Grupo 1'!O125</f>
        <v>5638.0559884920367</v>
      </c>
      <c r="D19" s="817">
        <f t="shared" ref="D19:D21" si="2">B19*C19</f>
        <v>5638.0559884920367</v>
      </c>
      <c r="E19" s="818"/>
      <c r="F19" s="817">
        <f t="shared" ref="F19:F21" si="3">D19*36</f>
        <v>202970.01558571332</v>
      </c>
      <c r="G19" s="818"/>
    </row>
    <row r="20" spans="1:13" s="210" customFormat="1" ht="15.5">
      <c r="A20" s="245">
        <v>6</v>
      </c>
      <c r="B20" s="248">
        <v>1</v>
      </c>
      <c r="C20" s="316">
        <f>'Copeiragem_Grupo 1'!P125</f>
        <v>5790.9110996031477</v>
      </c>
      <c r="D20" s="817">
        <f t="shared" si="2"/>
        <v>5790.9110996031477</v>
      </c>
      <c r="E20" s="818"/>
      <c r="F20" s="817">
        <f t="shared" si="3"/>
        <v>208472.79958571331</v>
      </c>
      <c r="G20" s="818"/>
    </row>
    <row r="21" spans="1:13" s="210" customFormat="1" ht="15.5">
      <c r="A21" s="245">
        <v>7</v>
      </c>
      <c r="B21" s="248">
        <v>1</v>
      </c>
      <c r="C21" s="316">
        <f>'Copeiragem_Grupo 1'!Q125</f>
        <v>5715.2813773809257</v>
      </c>
      <c r="D21" s="817">
        <f t="shared" si="2"/>
        <v>5715.2813773809257</v>
      </c>
      <c r="E21" s="818"/>
      <c r="F21" s="817">
        <f t="shared" si="3"/>
        <v>205750.12958571332</v>
      </c>
      <c r="G21" s="818"/>
    </row>
    <row r="22" spans="1:13" s="210" customFormat="1" ht="15.5">
      <c r="A22" s="245">
        <v>8</v>
      </c>
      <c r="B22" s="248">
        <v>2</v>
      </c>
      <c r="C22" s="316">
        <f>'Copeiragem_Grupo 1'!R125</f>
        <v>5624.6673496031481</v>
      </c>
      <c r="D22" s="817">
        <f t="shared" si="0"/>
        <v>11249.334699206296</v>
      </c>
      <c r="E22" s="818"/>
      <c r="F22" s="817">
        <f t="shared" si="1"/>
        <v>404976.04917142668</v>
      </c>
      <c r="G22" s="818"/>
    </row>
    <row r="23" spans="1:13" s="210" customFormat="1" ht="15.5">
      <c r="A23" s="245">
        <v>9</v>
      </c>
      <c r="B23" s="248">
        <v>1</v>
      </c>
      <c r="C23" s="316">
        <f>'Copeiragem_Grupo 1'!S125</f>
        <v>5898.6395996031479</v>
      </c>
      <c r="D23" s="817">
        <f t="shared" si="0"/>
        <v>5898.6395996031479</v>
      </c>
      <c r="E23" s="818"/>
      <c r="F23" s="817">
        <f t="shared" si="1"/>
        <v>212351.02558571333</v>
      </c>
      <c r="G23" s="818"/>
      <c r="M23" s="323"/>
    </row>
    <row r="24" spans="1:13" s="210" customFormat="1" ht="15.5">
      <c r="A24" s="245">
        <v>10</v>
      </c>
      <c r="B24" s="248">
        <v>1</v>
      </c>
      <c r="C24" s="316">
        <f>'Copeiragem_Grupo 1'!T125</f>
        <v>5781.5181551587038</v>
      </c>
      <c r="D24" s="817">
        <f t="shared" si="0"/>
        <v>5781.5181551587038</v>
      </c>
      <c r="E24" s="818"/>
      <c r="F24" s="817">
        <f t="shared" si="1"/>
        <v>208134.65358571333</v>
      </c>
      <c r="G24" s="818"/>
    </row>
    <row r="25" spans="1:13" s="210" customFormat="1" ht="15.5">
      <c r="A25" s="245">
        <v>11</v>
      </c>
      <c r="B25" s="248">
        <v>3</v>
      </c>
      <c r="C25" s="316">
        <f>'Copeiragem_Grupo 1'!U125</f>
        <v>5589.0371366401851</v>
      </c>
      <c r="D25" s="817">
        <f t="shared" si="0"/>
        <v>16767.111409920555</v>
      </c>
      <c r="E25" s="818"/>
      <c r="F25" s="817">
        <f t="shared" si="1"/>
        <v>603616.01075714</v>
      </c>
      <c r="G25" s="818"/>
    </row>
    <row r="26" spans="1:13" s="210" customFormat="1" ht="15.5">
      <c r="A26" s="249">
        <v>12</v>
      </c>
      <c r="B26" s="250">
        <v>1</v>
      </c>
      <c r="C26" s="317">
        <f>'Copeiragem_Grupo 1'!V125</f>
        <v>5516.8194329364815</v>
      </c>
      <c r="D26" s="817">
        <f t="shared" si="0"/>
        <v>5516.8194329364815</v>
      </c>
      <c r="E26" s="818"/>
      <c r="F26" s="817">
        <f t="shared" si="1"/>
        <v>198605.49958571332</v>
      </c>
      <c r="G26" s="818"/>
    </row>
    <row r="27" spans="1:13" ht="20" customHeight="1">
      <c r="A27" s="821" t="s">
        <v>279</v>
      </c>
      <c r="B27" s="822"/>
      <c r="C27" s="823"/>
      <c r="D27" s="834">
        <f>SUM(D15:E26)</f>
        <v>113443.26360317407</v>
      </c>
      <c r="E27" s="834"/>
      <c r="F27" s="834">
        <f>D27*36</f>
        <v>4083957.4897142667</v>
      </c>
      <c r="G27" s="835"/>
    </row>
    <row r="28" spans="1:13" s="210" customFormat="1" ht="20" customHeight="1">
      <c r="A28" s="824" t="s">
        <v>290</v>
      </c>
      <c r="B28" s="825"/>
      <c r="C28" s="825"/>
      <c r="D28" s="825"/>
      <c r="E28" s="825"/>
      <c r="F28" s="825"/>
      <c r="G28" s="826"/>
    </row>
    <row r="29" spans="1:13" s="210" customFormat="1" ht="40.5" customHeight="1">
      <c r="A29" s="243" t="s">
        <v>210</v>
      </c>
      <c r="B29" s="819" t="s">
        <v>280</v>
      </c>
      <c r="C29" s="820"/>
      <c r="D29" s="820"/>
      <c r="E29" s="631"/>
      <c r="F29" s="813" t="s">
        <v>274</v>
      </c>
      <c r="G29" s="631"/>
    </row>
    <row r="30" spans="1:13" s="210" customFormat="1" ht="20" customHeight="1">
      <c r="A30" s="251">
        <v>1</v>
      </c>
      <c r="B30" s="814">
        <f>'Licitante - Material de Consumo'!E45</f>
        <v>11044.224445499998</v>
      </c>
      <c r="C30" s="815"/>
      <c r="D30" s="815">
        <f>B30+C30</f>
        <v>11044.224445499998</v>
      </c>
      <c r="E30" s="816"/>
      <c r="F30" s="813">
        <f>D30*36</f>
        <v>397592.08003799996</v>
      </c>
      <c r="G30" s="631"/>
    </row>
    <row r="31" spans="1:13" s="210" customFormat="1" ht="20" customHeight="1">
      <c r="A31" s="251">
        <v>2</v>
      </c>
      <c r="B31" s="814">
        <f>'Licitante - Material de Consumo'!G45</f>
        <v>1523.0124288</v>
      </c>
      <c r="C31" s="815"/>
      <c r="D31" s="815">
        <f t="shared" ref="D31:D41" si="4">B31+C31</f>
        <v>1523.0124288</v>
      </c>
      <c r="E31" s="816"/>
      <c r="F31" s="813">
        <f t="shared" ref="F31:F41" si="5">D31*36</f>
        <v>54828.447436800001</v>
      </c>
      <c r="G31" s="631"/>
    </row>
    <row r="32" spans="1:13" s="210" customFormat="1" ht="20" customHeight="1">
      <c r="A32" s="251">
        <v>3</v>
      </c>
      <c r="B32" s="814">
        <f>'Licitante - Material de Consumo'!I45</f>
        <v>1523.0124288</v>
      </c>
      <c r="C32" s="815"/>
      <c r="D32" s="815">
        <f t="shared" si="4"/>
        <v>1523.0124288</v>
      </c>
      <c r="E32" s="816"/>
      <c r="F32" s="813">
        <f t="shared" si="5"/>
        <v>54828.447436800001</v>
      </c>
      <c r="G32" s="631"/>
    </row>
    <row r="33" spans="1:15" s="210" customFormat="1" ht="20" customHeight="1">
      <c r="A33" s="251">
        <v>4</v>
      </c>
      <c r="B33" s="814">
        <f>'Licitante - Material de Consumo'!K45</f>
        <v>8559.8324124750015</v>
      </c>
      <c r="C33" s="815"/>
      <c r="D33" s="815">
        <f t="shared" si="4"/>
        <v>8559.8324124750015</v>
      </c>
      <c r="E33" s="816"/>
      <c r="F33" s="813">
        <f t="shared" si="5"/>
        <v>308153.96684910008</v>
      </c>
      <c r="G33" s="631"/>
    </row>
    <row r="34" spans="1:15" s="210" customFormat="1" ht="20" customHeight="1">
      <c r="A34" s="251">
        <v>5</v>
      </c>
      <c r="B34" s="814">
        <f>'Licitante - Material de Consumo'!M45</f>
        <v>941.26899734999984</v>
      </c>
      <c r="C34" s="815"/>
      <c r="D34" s="815"/>
      <c r="E34" s="816"/>
      <c r="F34" s="813">
        <f>B34*36</f>
        <v>33885.683904599995</v>
      </c>
      <c r="G34" s="631"/>
    </row>
    <row r="35" spans="1:15" s="210" customFormat="1" ht="20" customHeight="1">
      <c r="A35" s="251">
        <v>6</v>
      </c>
      <c r="B35" s="814">
        <f>'Licitante - Material de Consumo'!O45</f>
        <v>2578.7295877500005</v>
      </c>
      <c r="C35" s="815"/>
      <c r="D35" s="815"/>
      <c r="E35" s="816"/>
      <c r="F35" s="813">
        <f>B35*36</f>
        <v>92834.265159000017</v>
      </c>
      <c r="G35" s="631"/>
      <c r="L35" s="407"/>
    </row>
    <row r="36" spans="1:15" s="210" customFormat="1" ht="20" customHeight="1">
      <c r="A36" s="251">
        <v>7</v>
      </c>
      <c r="B36" s="814">
        <f>'Licitante - Material de Consumo'!Q45</f>
        <v>2084.3038071000001</v>
      </c>
      <c r="C36" s="815"/>
      <c r="D36" s="815"/>
      <c r="E36" s="816"/>
      <c r="F36" s="813">
        <f>B36*36</f>
        <v>75034.937055600007</v>
      </c>
      <c r="G36" s="631"/>
    </row>
    <row r="37" spans="1:15" s="210" customFormat="1" ht="20" customHeight="1">
      <c r="A37" s="251">
        <v>8</v>
      </c>
      <c r="B37" s="814">
        <f>'Licitante - Material de Consumo'!S45</f>
        <v>6124.6645862250016</v>
      </c>
      <c r="C37" s="815"/>
      <c r="D37" s="815">
        <f t="shared" si="4"/>
        <v>6124.6645862250016</v>
      </c>
      <c r="E37" s="816"/>
      <c r="F37" s="813">
        <f t="shared" si="5"/>
        <v>220487.92510410005</v>
      </c>
      <c r="G37" s="631"/>
    </row>
    <row r="38" spans="1:15" s="210" customFormat="1" ht="20" customHeight="1">
      <c r="A38" s="252">
        <v>9</v>
      </c>
      <c r="B38" s="814">
        <f>'Licitante - Material de Consumo'!U45</f>
        <v>6876.2423587949988</v>
      </c>
      <c r="C38" s="815"/>
      <c r="D38" s="815">
        <f t="shared" si="4"/>
        <v>6876.2423587949988</v>
      </c>
      <c r="E38" s="816"/>
      <c r="F38" s="813">
        <f t="shared" si="5"/>
        <v>247544.72491661995</v>
      </c>
      <c r="G38" s="631"/>
      <c r="J38" s="421"/>
    </row>
    <row r="39" spans="1:15" s="210" customFormat="1" ht="20" customHeight="1">
      <c r="A39" s="252">
        <v>10</v>
      </c>
      <c r="B39" s="814">
        <f>'Licitante - Material de Consumo'!W45</f>
        <v>4085.8598683800019</v>
      </c>
      <c r="C39" s="815"/>
      <c r="D39" s="815">
        <f t="shared" si="4"/>
        <v>4085.8598683800019</v>
      </c>
      <c r="E39" s="816"/>
      <c r="F39" s="813">
        <f t="shared" si="5"/>
        <v>147090.95526168006</v>
      </c>
      <c r="G39" s="631"/>
      <c r="J39" s="323"/>
    </row>
    <row r="40" spans="1:15" s="210" customFormat="1" ht="20" customHeight="1">
      <c r="A40" s="252">
        <v>11</v>
      </c>
      <c r="B40" s="814">
        <f>'Licitante - Material de Consumo'!Y45</f>
        <v>5993.0243521650009</v>
      </c>
      <c r="C40" s="815"/>
      <c r="D40" s="815">
        <f t="shared" si="4"/>
        <v>5993.0243521650009</v>
      </c>
      <c r="E40" s="816"/>
      <c r="F40" s="813">
        <f t="shared" si="5"/>
        <v>215748.87667794002</v>
      </c>
      <c r="G40" s="631"/>
      <c r="I40" s="323"/>
    </row>
    <row r="41" spans="1:15" s="210" customFormat="1" ht="20" customHeight="1">
      <c r="A41" s="252">
        <v>12</v>
      </c>
      <c r="B41" s="814">
        <f>'Licitante - Material de Consumo'!AA45</f>
        <v>2935.3008728249997</v>
      </c>
      <c r="C41" s="815"/>
      <c r="D41" s="815">
        <f t="shared" si="4"/>
        <v>2935.3008728249997</v>
      </c>
      <c r="E41" s="816"/>
      <c r="F41" s="813">
        <f t="shared" si="5"/>
        <v>105670.83142169999</v>
      </c>
      <c r="G41" s="631"/>
    </row>
    <row r="42" spans="1:15" s="210" customFormat="1" ht="20" customHeight="1">
      <c r="A42" s="838" t="s">
        <v>281</v>
      </c>
      <c r="B42" s="839"/>
      <c r="C42" s="840"/>
      <c r="D42" s="841">
        <f>B30+B31+B32+B33+B34+B35+B36+B37+B38+B39+B40+B41</f>
        <v>54269.476146165005</v>
      </c>
      <c r="E42" s="842"/>
      <c r="F42" s="843">
        <f>F30+F31+F32+F33+F34+F35+F36+F37+F38+F39+F40+F41</f>
        <v>1953701.1412619401</v>
      </c>
      <c r="G42" s="842"/>
    </row>
    <row r="43" spans="1:15" s="210" customFormat="1" ht="20" customHeight="1">
      <c r="A43" s="849" t="s">
        <v>291</v>
      </c>
      <c r="B43" s="850"/>
      <c r="C43" s="850"/>
      <c r="D43" s="850"/>
      <c r="E43" s="850"/>
      <c r="F43" s="850"/>
      <c r="G43" s="850"/>
      <c r="J43" s="323"/>
    </row>
    <row r="44" spans="1:15" s="210" customFormat="1" ht="20" customHeight="1">
      <c r="A44" s="254" t="s">
        <v>210</v>
      </c>
      <c r="B44" s="255" t="s">
        <v>282</v>
      </c>
      <c r="C44" s="255" t="s">
        <v>283</v>
      </c>
      <c r="D44" s="851" t="s">
        <v>284</v>
      </c>
      <c r="E44" s="852"/>
      <c r="F44" s="851" t="s">
        <v>274</v>
      </c>
      <c r="G44" s="852"/>
    </row>
    <row r="45" spans="1:15" s="210" customFormat="1" ht="20" customHeight="1">
      <c r="A45" s="251">
        <v>1</v>
      </c>
      <c r="B45" s="321">
        <f t="shared" ref="B45:B56" si="6">D15</f>
        <v>28321.902164682404</v>
      </c>
      <c r="C45" s="322">
        <f t="shared" ref="C45:C56" si="7">B30</f>
        <v>11044.224445499998</v>
      </c>
      <c r="D45" s="836">
        <f>B45+C45</f>
        <v>39366.1266101824</v>
      </c>
      <c r="E45" s="837"/>
      <c r="F45" s="836">
        <f>D45*36</f>
        <v>1417180.5579665664</v>
      </c>
      <c r="G45" s="837"/>
      <c r="J45" s="323"/>
      <c r="L45" s="323"/>
    </row>
    <row r="46" spans="1:15" s="210" customFormat="1" ht="20" customHeight="1">
      <c r="A46" s="251">
        <v>2</v>
      </c>
      <c r="B46" s="321">
        <f t="shared" si="6"/>
        <v>5629.8479329364809</v>
      </c>
      <c r="C46" s="322">
        <f t="shared" si="7"/>
        <v>1523.0124288</v>
      </c>
      <c r="D46" s="836">
        <f t="shared" ref="D46:D56" si="8">B46+C46</f>
        <v>7152.8603617364806</v>
      </c>
      <c r="E46" s="837"/>
      <c r="F46" s="836">
        <f t="shared" ref="F46:F56" si="9">D46*36</f>
        <v>257502.9730225133</v>
      </c>
      <c r="G46" s="837"/>
    </row>
    <row r="47" spans="1:15" s="210" customFormat="1" ht="20" customHeight="1">
      <c r="A47" s="251">
        <v>3</v>
      </c>
      <c r="B47" s="321">
        <f t="shared" si="6"/>
        <v>5593.2983218253694</v>
      </c>
      <c r="C47" s="322">
        <f t="shared" si="7"/>
        <v>1523.0124288</v>
      </c>
      <c r="D47" s="836">
        <f t="shared" si="8"/>
        <v>7116.3107506253691</v>
      </c>
      <c r="E47" s="837"/>
      <c r="F47" s="836">
        <f t="shared" si="9"/>
        <v>256187.1870225133</v>
      </c>
      <c r="G47" s="837"/>
      <c r="O47" s="323"/>
    </row>
    <row r="48" spans="1:15" s="210" customFormat="1" ht="20" customHeight="1">
      <c r="A48" s="251">
        <v>4</v>
      </c>
      <c r="B48" s="321">
        <f t="shared" si="6"/>
        <v>11540.543421428516</v>
      </c>
      <c r="C48" s="322">
        <f t="shared" si="7"/>
        <v>8559.8324124750015</v>
      </c>
      <c r="D48" s="836">
        <f t="shared" si="8"/>
        <v>20100.375833903519</v>
      </c>
      <c r="E48" s="837"/>
      <c r="F48" s="836">
        <f t="shared" si="9"/>
        <v>723613.53002052673</v>
      </c>
      <c r="G48" s="837"/>
    </row>
    <row r="49" spans="1:10" s="210" customFormat="1" ht="20" customHeight="1">
      <c r="A49" s="251">
        <v>5</v>
      </c>
      <c r="B49" s="321">
        <f t="shared" si="6"/>
        <v>5638.0559884920367</v>
      </c>
      <c r="C49" s="322">
        <f t="shared" si="7"/>
        <v>941.26899734999984</v>
      </c>
      <c r="D49" s="836">
        <f t="shared" ref="D49" si="10">B49+C49</f>
        <v>6579.3249858420368</v>
      </c>
      <c r="E49" s="837"/>
      <c r="F49" s="836">
        <f t="shared" ref="F49" si="11">D49*36</f>
        <v>236855.69949031333</v>
      </c>
      <c r="G49" s="837"/>
    </row>
    <row r="50" spans="1:10" s="210" customFormat="1" ht="20" customHeight="1">
      <c r="A50" s="251">
        <v>6</v>
      </c>
      <c r="B50" s="321">
        <f t="shared" si="6"/>
        <v>5790.9110996031477</v>
      </c>
      <c r="C50" s="322">
        <f t="shared" si="7"/>
        <v>2578.7295877500005</v>
      </c>
      <c r="D50" s="836">
        <f t="shared" ref="D50" si="12">B50+C50</f>
        <v>8369.6406873531487</v>
      </c>
      <c r="E50" s="837"/>
      <c r="F50" s="836">
        <f t="shared" ref="F50" si="13">D50*36</f>
        <v>301307.06474471337</v>
      </c>
      <c r="G50" s="837"/>
    </row>
    <row r="51" spans="1:10" s="210" customFormat="1" ht="20" customHeight="1">
      <c r="A51" s="251">
        <v>7</v>
      </c>
      <c r="B51" s="321">
        <f t="shared" si="6"/>
        <v>5715.2813773809257</v>
      </c>
      <c r="C51" s="322">
        <f t="shared" si="7"/>
        <v>2084.3038071000001</v>
      </c>
      <c r="D51" s="836">
        <f t="shared" ref="D51" si="14">B51+C51</f>
        <v>7799.5851844809258</v>
      </c>
      <c r="E51" s="837"/>
      <c r="F51" s="836">
        <f t="shared" ref="F51" si="15">D51*36</f>
        <v>280785.06664131331</v>
      </c>
      <c r="G51" s="837"/>
    </row>
    <row r="52" spans="1:10" s="210" customFormat="1" ht="20" customHeight="1">
      <c r="A52" s="251">
        <v>8</v>
      </c>
      <c r="B52" s="321">
        <f t="shared" si="6"/>
        <v>11249.334699206296</v>
      </c>
      <c r="C52" s="322">
        <f t="shared" si="7"/>
        <v>6124.6645862250016</v>
      </c>
      <c r="D52" s="836">
        <f t="shared" si="8"/>
        <v>17373.999285431299</v>
      </c>
      <c r="E52" s="837"/>
      <c r="F52" s="836">
        <f t="shared" si="9"/>
        <v>625463.97427552671</v>
      </c>
      <c r="G52" s="837"/>
    </row>
    <row r="53" spans="1:10" s="210" customFormat="1" ht="20" customHeight="1">
      <c r="A53" s="252">
        <v>9</v>
      </c>
      <c r="B53" s="321">
        <f t="shared" si="6"/>
        <v>5898.6395996031479</v>
      </c>
      <c r="C53" s="322">
        <f t="shared" si="7"/>
        <v>6876.2423587949988</v>
      </c>
      <c r="D53" s="836">
        <f t="shared" si="8"/>
        <v>12774.881958398146</v>
      </c>
      <c r="E53" s="837"/>
      <c r="F53" s="836">
        <f t="shared" si="9"/>
        <v>459895.75050233328</v>
      </c>
      <c r="G53" s="837"/>
    </row>
    <row r="54" spans="1:10" s="210" customFormat="1" ht="20" customHeight="1">
      <c r="A54" s="252">
        <v>10</v>
      </c>
      <c r="B54" s="321">
        <f t="shared" si="6"/>
        <v>5781.5181551587038</v>
      </c>
      <c r="C54" s="322">
        <f t="shared" si="7"/>
        <v>4085.8598683800019</v>
      </c>
      <c r="D54" s="836">
        <f t="shared" si="8"/>
        <v>9867.3780235387057</v>
      </c>
      <c r="E54" s="837"/>
      <c r="F54" s="836">
        <f t="shared" si="9"/>
        <v>355225.60884739342</v>
      </c>
      <c r="G54" s="837"/>
    </row>
    <row r="55" spans="1:10" s="210" customFormat="1" ht="20" customHeight="1">
      <c r="A55" s="252">
        <v>11</v>
      </c>
      <c r="B55" s="321">
        <f t="shared" si="6"/>
        <v>16767.111409920555</v>
      </c>
      <c r="C55" s="322">
        <f t="shared" si="7"/>
        <v>5993.0243521650009</v>
      </c>
      <c r="D55" s="836">
        <f t="shared" si="8"/>
        <v>22760.135762085556</v>
      </c>
      <c r="E55" s="837"/>
      <c r="F55" s="836">
        <f t="shared" si="9"/>
        <v>819364.88743508002</v>
      </c>
      <c r="G55" s="837"/>
    </row>
    <row r="56" spans="1:10" s="210" customFormat="1" ht="20" customHeight="1">
      <c r="A56" s="252">
        <v>12</v>
      </c>
      <c r="B56" s="321">
        <f t="shared" si="6"/>
        <v>5516.8194329364815</v>
      </c>
      <c r="C56" s="322">
        <f t="shared" si="7"/>
        <v>2935.3008728249997</v>
      </c>
      <c r="D56" s="836">
        <f t="shared" si="8"/>
        <v>8452.1203057614803</v>
      </c>
      <c r="E56" s="837"/>
      <c r="F56" s="836">
        <f t="shared" si="9"/>
        <v>304276.33100741328</v>
      </c>
      <c r="G56" s="837"/>
    </row>
    <row r="57" spans="1:10" s="210" customFormat="1" ht="20" customHeight="1">
      <c r="A57" s="853" t="s">
        <v>285</v>
      </c>
      <c r="B57" s="854"/>
      <c r="C57" s="855"/>
      <c r="D57" s="856">
        <f>SUM(D45:E56)</f>
        <v>167712.73974933906</v>
      </c>
      <c r="E57" s="857"/>
      <c r="F57" s="858">
        <f>SUM(F45:G56)</f>
        <v>6037658.6309762076</v>
      </c>
      <c r="G57" s="859"/>
    </row>
    <row r="59" spans="1:10">
      <c r="A59" s="844" t="s">
        <v>211</v>
      </c>
      <c r="B59" s="845"/>
      <c r="C59" s="846"/>
      <c r="D59" s="846"/>
      <c r="E59" s="846"/>
      <c r="F59" s="846"/>
      <c r="G59" s="847"/>
    </row>
    <row r="60" spans="1:10">
      <c r="A60" s="848"/>
      <c r="B60" s="846"/>
      <c r="C60" s="846"/>
      <c r="D60" s="846"/>
      <c r="E60" s="846"/>
      <c r="F60" s="846"/>
      <c r="G60" s="847"/>
    </row>
    <row r="61" spans="1:10" ht="45" customHeight="1">
      <c r="A61" s="869" t="s">
        <v>217</v>
      </c>
      <c r="B61" s="870"/>
      <c r="C61" s="870"/>
      <c r="D61" s="870"/>
      <c r="E61" s="870"/>
      <c r="F61" s="870"/>
      <c r="G61" s="871"/>
      <c r="J61" s="428"/>
    </row>
    <row r="62" spans="1:10">
      <c r="A62" s="187"/>
      <c r="B62" s="188"/>
      <c r="C62" s="188"/>
      <c r="D62" s="188"/>
      <c r="E62" s="188"/>
      <c r="F62" s="188"/>
      <c r="G62" s="189"/>
    </row>
    <row r="63" spans="1:10" ht="45" customHeight="1">
      <c r="A63" s="869" t="s">
        <v>212</v>
      </c>
      <c r="B63" s="870"/>
      <c r="C63" s="870"/>
      <c r="D63" s="870"/>
      <c r="E63" s="870"/>
      <c r="F63" s="870"/>
      <c r="G63" s="871"/>
    </row>
    <row r="64" spans="1:10">
      <c r="A64" s="187"/>
      <c r="B64" s="188"/>
      <c r="C64" s="188"/>
      <c r="D64" s="188"/>
      <c r="E64" s="188"/>
      <c r="F64" s="188"/>
      <c r="G64" s="189"/>
    </row>
    <row r="65" spans="1:7" ht="45" customHeight="1">
      <c r="A65" s="869" t="s">
        <v>213</v>
      </c>
      <c r="B65" s="870"/>
      <c r="C65" s="870"/>
      <c r="D65" s="870"/>
      <c r="E65" s="870"/>
      <c r="F65" s="870"/>
      <c r="G65" s="871"/>
    </row>
    <row r="66" spans="1:7" ht="14.4" customHeight="1">
      <c r="A66" s="187"/>
      <c r="B66" s="188"/>
      <c r="C66" s="188"/>
      <c r="D66" s="188"/>
      <c r="E66" s="188"/>
      <c r="F66" s="188"/>
      <c r="G66" s="189"/>
    </row>
    <row r="67" spans="1:7" ht="45" customHeight="1">
      <c r="A67" s="869" t="s">
        <v>214</v>
      </c>
      <c r="B67" s="870"/>
      <c r="C67" s="870"/>
      <c r="D67" s="870"/>
      <c r="E67" s="870"/>
      <c r="F67" s="870"/>
      <c r="G67" s="871"/>
    </row>
    <row r="68" spans="1:7">
      <c r="A68" s="187"/>
      <c r="B68" s="188"/>
      <c r="C68" s="188"/>
      <c r="D68" s="188"/>
      <c r="E68" s="188"/>
      <c r="F68" s="188"/>
      <c r="G68" s="189"/>
    </row>
    <row r="69" spans="1:7" ht="45" customHeight="1">
      <c r="A69" s="869" t="s">
        <v>215</v>
      </c>
      <c r="B69" s="870"/>
      <c r="C69" s="870"/>
      <c r="D69" s="870"/>
      <c r="E69" s="870"/>
      <c r="F69" s="870"/>
      <c r="G69" s="871"/>
    </row>
    <row r="70" spans="1:7">
      <c r="A70" s="187"/>
      <c r="B70" s="185"/>
      <c r="C70" s="185"/>
      <c r="D70" s="185"/>
      <c r="E70" s="185"/>
      <c r="F70" s="185"/>
      <c r="G70" s="186"/>
    </row>
    <row r="71" spans="1:7">
      <c r="A71" s="863" t="s">
        <v>341</v>
      </c>
      <c r="B71" s="864"/>
      <c r="C71" s="864"/>
      <c r="D71" s="864"/>
      <c r="E71" s="864"/>
      <c r="F71" s="864"/>
      <c r="G71" s="865"/>
    </row>
    <row r="72" spans="1:7">
      <c r="A72" s="184"/>
      <c r="B72" s="185"/>
      <c r="C72" s="185"/>
      <c r="D72" s="185"/>
      <c r="E72" s="185"/>
      <c r="F72" s="185"/>
      <c r="G72" s="186"/>
    </row>
    <row r="73" spans="1:7">
      <c r="A73" s="190"/>
      <c r="B73" s="185"/>
      <c r="C73" s="185"/>
      <c r="D73" s="185"/>
      <c r="E73" s="185"/>
      <c r="F73" s="185"/>
      <c r="G73" s="186"/>
    </row>
    <row r="74" spans="1:7">
      <c r="A74" s="863" t="s">
        <v>216</v>
      </c>
      <c r="B74" s="864"/>
      <c r="C74" s="864"/>
      <c r="D74" s="864"/>
      <c r="E74" s="864"/>
      <c r="F74" s="864"/>
      <c r="G74" s="865"/>
    </row>
    <row r="75" spans="1:7">
      <c r="A75" s="866" t="s">
        <v>218</v>
      </c>
      <c r="B75" s="867"/>
      <c r="C75" s="867"/>
      <c r="D75" s="867"/>
      <c r="E75" s="867"/>
      <c r="F75" s="867"/>
      <c r="G75" s="868"/>
    </row>
    <row r="76" spans="1:7" s="194" customFormat="1">
      <c r="A76" s="195"/>
      <c r="B76" s="196"/>
      <c r="C76" s="196"/>
      <c r="D76" s="196"/>
      <c r="E76" s="196"/>
      <c r="F76" s="196"/>
      <c r="G76" s="197"/>
    </row>
    <row r="77" spans="1:7">
      <c r="A77" s="184"/>
      <c r="B77" s="185"/>
      <c r="C77" s="185"/>
      <c r="D77" s="185"/>
      <c r="E77" s="185"/>
      <c r="F77" s="185"/>
      <c r="G77" s="186"/>
    </row>
    <row r="78" spans="1:7" s="194" customFormat="1">
      <c r="A78" s="860" t="s">
        <v>228</v>
      </c>
      <c r="B78" s="861"/>
      <c r="C78" s="861"/>
      <c r="D78" s="861"/>
      <c r="E78" s="861"/>
      <c r="F78" s="861"/>
      <c r="G78" s="862"/>
    </row>
    <row r="79" spans="1:7" s="194" customFormat="1">
      <c r="A79" s="207"/>
      <c r="B79" s="208"/>
      <c r="C79" s="208"/>
      <c r="D79" s="208"/>
      <c r="E79" s="208"/>
      <c r="F79" s="208"/>
      <c r="G79" s="209"/>
    </row>
    <row r="80" spans="1:7" s="194" customFormat="1">
      <c r="A80" s="207"/>
      <c r="B80" s="208"/>
      <c r="C80" s="208"/>
      <c r="D80" s="208"/>
      <c r="E80" s="208"/>
      <c r="F80" s="208"/>
      <c r="G80" s="209"/>
    </row>
    <row r="81" spans="1:7" ht="15" thickBot="1">
      <c r="A81" s="191"/>
      <c r="B81" s="192"/>
      <c r="C81" s="192"/>
      <c r="D81" s="192"/>
      <c r="E81" s="192"/>
      <c r="F81" s="192"/>
      <c r="G81" s="193"/>
    </row>
    <row r="83" spans="1:7" ht="15.5">
      <c r="G83" s="181"/>
    </row>
    <row r="84" spans="1:7" ht="15.5">
      <c r="G84" s="182"/>
    </row>
    <row r="85" spans="1:7" ht="15.5">
      <c r="G85" s="182"/>
    </row>
  </sheetData>
  <mergeCells count="115">
    <mergeCell ref="D10:G10"/>
    <mergeCell ref="D11:G11"/>
    <mergeCell ref="A1:G1"/>
    <mergeCell ref="B2:G2"/>
    <mergeCell ref="B3:G3"/>
    <mergeCell ref="B4:G4"/>
    <mergeCell ref="B5:C5"/>
    <mergeCell ref="E5:G5"/>
    <mergeCell ref="A10:C10"/>
    <mergeCell ref="A11:C11"/>
    <mergeCell ref="B7:G7"/>
    <mergeCell ref="B8:G8"/>
    <mergeCell ref="B6:G6"/>
    <mergeCell ref="B9:G9"/>
    <mergeCell ref="D48:E48"/>
    <mergeCell ref="D49:E49"/>
    <mergeCell ref="D50:E50"/>
    <mergeCell ref="A78:G78"/>
    <mergeCell ref="A74:G74"/>
    <mergeCell ref="A75:G75"/>
    <mergeCell ref="A61:G61"/>
    <mergeCell ref="A63:G63"/>
    <mergeCell ref="A65:G65"/>
    <mergeCell ref="A67:G67"/>
    <mergeCell ref="A69:G69"/>
    <mergeCell ref="A71:G71"/>
    <mergeCell ref="D51:E51"/>
    <mergeCell ref="F49:G49"/>
    <mergeCell ref="F50:G50"/>
    <mergeCell ref="F51:G51"/>
    <mergeCell ref="D18:E18"/>
    <mergeCell ref="D22:E22"/>
    <mergeCell ref="F19:G19"/>
    <mergeCell ref="A59:G60"/>
    <mergeCell ref="A43:G43"/>
    <mergeCell ref="D44:E44"/>
    <mergeCell ref="F44:G44"/>
    <mergeCell ref="F45:G45"/>
    <mergeCell ref="F46:G46"/>
    <mergeCell ref="F47:G47"/>
    <mergeCell ref="F48:G48"/>
    <mergeCell ref="F52:G52"/>
    <mergeCell ref="F53:G53"/>
    <mergeCell ref="F54:G54"/>
    <mergeCell ref="F55:G55"/>
    <mergeCell ref="A57:C57"/>
    <mergeCell ref="D57:E57"/>
    <mergeCell ref="F56:G56"/>
    <mergeCell ref="F57:G57"/>
    <mergeCell ref="D56:E56"/>
    <mergeCell ref="D54:E54"/>
    <mergeCell ref="D55:E55"/>
    <mergeCell ref="D53:E53"/>
    <mergeCell ref="D52:E52"/>
    <mergeCell ref="F39:G39"/>
    <mergeCell ref="D45:E45"/>
    <mergeCell ref="D46:E46"/>
    <mergeCell ref="D47:E47"/>
    <mergeCell ref="F38:G38"/>
    <mergeCell ref="A42:C42"/>
    <mergeCell ref="D42:E42"/>
    <mergeCell ref="F42:G42"/>
    <mergeCell ref="B40:E40"/>
    <mergeCell ref="B41:E41"/>
    <mergeCell ref="B38:E38"/>
    <mergeCell ref="F40:G40"/>
    <mergeCell ref="F41:G41"/>
    <mergeCell ref="A12:G12"/>
    <mergeCell ref="B33:E33"/>
    <mergeCell ref="B37:E37"/>
    <mergeCell ref="B34:E34"/>
    <mergeCell ref="B35:E35"/>
    <mergeCell ref="B36:E36"/>
    <mergeCell ref="F34:G34"/>
    <mergeCell ref="F35:G35"/>
    <mergeCell ref="F36:G36"/>
    <mergeCell ref="A13:G13"/>
    <mergeCell ref="F29:G29"/>
    <mergeCell ref="F30:G30"/>
    <mergeCell ref="D25:E25"/>
    <mergeCell ref="D26:E26"/>
    <mergeCell ref="F15:G15"/>
    <mergeCell ref="D14:E14"/>
    <mergeCell ref="F14:G14"/>
    <mergeCell ref="D27:E27"/>
    <mergeCell ref="F27:G27"/>
    <mergeCell ref="D15:E15"/>
    <mergeCell ref="D16:E16"/>
    <mergeCell ref="F25:G25"/>
    <mergeCell ref="F26:G26"/>
    <mergeCell ref="D17:E17"/>
    <mergeCell ref="F33:G33"/>
    <mergeCell ref="F37:G37"/>
    <mergeCell ref="B39:E39"/>
    <mergeCell ref="F16:G16"/>
    <mergeCell ref="F31:G31"/>
    <mergeCell ref="F32:G32"/>
    <mergeCell ref="B29:E29"/>
    <mergeCell ref="B30:E30"/>
    <mergeCell ref="B31:E31"/>
    <mergeCell ref="B32:E32"/>
    <mergeCell ref="D24:E24"/>
    <mergeCell ref="F17:G17"/>
    <mergeCell ref="F18:G18"/>
    <mergeCell ref="F22:G22"/>
    <mergeCell ref="F23:G23"/>
    <mergeCell ref="F24:G24"/>
    <mergeCell ref="D19:E19"/>
    <mergeCell ref="D23:E23"/>
    <mergeCell ref="D20:E20"/>
    <mergeCell ref="D21:E21"/>
    <mergeCell ref="F20:G20"/>
    <mergeCell ref="F21:G21"/>
    <mergeCell ref="A27:C27"/>
    <mergeCell ref="A28:G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Q b e Y W B U N 7 q 6 j A A A A 9 g A A A B I A H A B D b 2 5 m a W c v U G F j a 2 F n Z S 5 4 b W w g o h g A K K A U A A A A A A A A A A A A A A A A A A A A A A A A A A A A h Y 9 N D o I w G E S v Q r r v D 3 V j y E d J d C u J 0 c S 4 b U q F R i i E F s v d X H g k r y B G U X c u 5 8 1 b z N y v N 8 j G p o 4 u u n e m t S m K C U O R t q o t j C 1 T N P g T X q J M w F a q s y x 1 N M n W J a M r U l R 5 3 y W U h h B I W J C 2 L y l n L K b H f L N X l W 4 k + s j m v 4 y N d V 5 a p Z G A w 2 u M 4 C T m j H D O C Q M 6 Q 8 i N / Q p 8 2 v t s f y C s h 9 o P v R a d x 6 s d 0 D k C f X 8 Q D 1 B L A w Q U A A I A C A B B t 5 h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b e Y W C i K R 7 g O A A A A E Q A A A B M A H A B G b 3 J t d W x h c y 9 T Z W N 0 a W 9 u M S 5 t I K I Y A C i g F A A A A A A A A A A A A A A A A A A A A A A A A A A A A C t O T S 7 J z M 9 T C I b Q h t Y A U E s B A i 0 A F A A C A A g A Q b e Y W B U N 7 q 6 j A A A A 9 g A A A B I A A A A A A A A A A A A A A A A A A A A A A E N v b m Z p Z y 9 Q Y W N r Y W d l L n h t b F B L A Q I t A B Q A A g A I A E G 3 m F g P y u m r p A A A A O k A A A A T A A A A A A A A A A A A A A A A A O 8 A A A B b Q 2 9 u d G V u d F 9 U e X B l c 1 0 u e G 1 s U E s B A i 0 A F A A C A A g A Q b e Y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A M R l k U 3 A W 9 O g c q v p i x L v j c A A A A A A g A A A A A A A 2 Y A A M A A A A A Q A A A A z C C r P 2 L Y A v Y 5 4 H j B u F 3 k h w A A A A A E g A A A o A A A A B A A A A C n / a X Q O O F b j t 6 J X P 9 w e 8 6 s U A A A A J I y e A O s + a 2 n U x S x C M R 8 i / R y m R E 3 6 Y u z k 2 H a f 2 5 + r 6 x J 1 M M F f T K 8 Z N C M 4 n M u t B a 1 + 2 v M B x 2 M Z 3 / D E s e l F m s a l o Q / C 7 T S g n f 4 X I 4 l r h S 8 N l 2 k F A A A A P E M 3 A O F M X 1 A Z s g 2 N E + R 6 P 1 y d V 8 G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4" ma:contentTypeDescription="Crie um novo documento." ma:contentTypeScope="" ma:versionID="202c82518352d8abc8be46d94644b183">
  <xsd:schema xmlns:xsd="http://www.w3.org/2001/XMLSchema" xmlns:xs="http://www.w3.org/2001/XMLSchema" xmlns:p="http://schemas.microsoft.com/office/2006/metadata/properties" xmlns:ns2="64a22de5-0768-4b82-a85d-749a4d842431" xmlns:ns3="d5012819-820f-4f58-97cc-92638848d0a5" targetNamespace="http://schemas.microsoft.com/office/2006/metadata/properties" ma:root="true" ma:fieldsID="2c902fa47711af5cf07aad664800e612" ns2:_="" ns3:_="">
    <xsd:import namespace="64a22de5-0768-4b82-a85d-749a4d842431"/>
    <xsd:import namespace="d5012819-820f-4f58-97cc-92638848d0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C4F5F9-3453-4BEC-8950-FD8CBF6CCD14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2582415-B407-4D79-81EC-202EFA822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22de5-0768-4b82-a85d-749a4d842431"/>
    <ds:schemaRef ds:uri="d5012819-820f-4f58-97cc-92638848d0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408881-EF53-4733-A0A8-5120F7EAED7E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f49aa43-822a-4c20-9670-db7700bf1eb0}" enabled="0" method="" siteId="{6f49aa43-822a-4c20-9670-db7700bf1eb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Orientações</vt:lpstr>
      <vt:lpstr>Licitante - Mão de Obra</vt:lpstr>
      <vt:lpstr>Licitante - Material de Consumo</vt:lpstr>
      <vt:lpstr>Copeiragem_Grupo 1</vt:lpstr>
      <vt:lpstr>Proposta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Cristina Schmidt Capella</dc:creator>
  <dc:description/>
  <cp:lastModifiedBy>Fabiana Campos da Costa Nakaya</cp:lastModifiedBy>
  <cp:revision>205</cp:revision>
  <cp:lastPrinted>2022-05-12T16:21:32Z</cp:lastPrinted>
  <dcterms:created xsi:type="dcterms:W3CDTF">2020-11-27T10:49:56Z</dcterms:created>
  <dcterms:modified xsi:type="dcterms:W3CDTF">2025-04-09T22:10:50Z</dcterms:modified>
  <dc:language>pt-BR</dc:language>
</cp:coreProperties>
</file>